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18"/>
  <workbookPr/>
  <mc:AlternateContent xmlns:mc="http://schemas.openxmlformats.org/markup-compatibility/2006">
    <mc:Choice Requires="x15">
      <x15ac:absPath xmlns:x15ac="http://schemas.microsoft.com/office/spreadsheetml/2010/11/ac" url="https://educvaladonlimogesfr-my.sharepoint.com/personal/camara_mamadou_educ-valadon-limoges_fr/Documents/B1 SIO/INFORMATIQUE B1 SIO/SISR1/AT PRO EL MATHAOUI/Projet M2L/MISSION 1/"/>
    </mc:Choice>
  </mc:AlternateContent>
  <xr:revisionPtr revIDLastSave="317" documentId="13_ncr:4000b_{A8484A24-0604-46BF-9A6F-D7A43677804F}" xr6:coauthVersionLast="47" xr6:coauthVersionMax="47" xr10:uidLastSave="{B7D24A32-EC01-4B30-AB15-CF7588C0C4B8}"/>
  <bookViews>
    <workbookView xWindow="-120" yWindow="-120" windowWidth="24240" windowHeight="13020" activeTab="2" xr2:uid="{00000000-000D-0000-FFFF-FFFF00000000}"/>
  </bookViews>
  <sheets>
    <sheet name="Calcul_câble" sheetId="1" r:id="rId1"/>
    <sheet name="Equipements_étages" sheetId="2" r:id="rId2"/>
    <sheet name="Equipement-rez-de-chaussée" sheetId="3" r:id="rId3"/>
    <sheet name="Devis" sheetId="4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2" i="3" l="1"/>
  <c r="E13" i="3"/>
  <c r="E13" i="2"/>
  <c r="B169" i="1"/>
  <c r="B170" i="1" s="1"/>
  <c r="B171" i="1" s="1"/>
  <c r="C154" i="1"/>
  <c r="C152" i="1"/>
  <c r="C150" i="1"/>
  <c r="C148" i="1"/>
  <c r="C144" i="1"/>
  <c r="C142" i="1"/>
  <c r="C140" i="1"/>
  <c r="C138" i="1"/>
  <c r="E14" i="3"/>
  <c r="E16" i="3"/>
  <c r="E7" i="2"/>
  <c r="C134" i="1"/>
  <c r="C132" i="1"/>
  <c r="C130" i="1"/>
  <c r="C128" i="1"/>
  <c r="C124" i="1"/>
  <c r="C122" i="1"/>
  <c r="C120" i="1"/>
  <c r="C118" i="1"/>
  <c r="C114" i="1"/>
  <c r="C112" i="1"/>
  <c r="C110" i="1"/>
  <c r="C108" i="1"/>
  <c r="C102" i="1"/>
  <c r="C104" i="1"/>
  <c r="C100" i="1"/>
  <c r="C98" i="1"/>
  <c r="C94" i="1"/>
  <c r="C92" i="1"/>
  <c r="C90" i="1"/>
  <c r="C88" i="1"/>
  <c r="C84" i="1"/>
  <c r="C82" i="1"/>
  <c r="C80" i="1"/>
  <c r="C78" i="1"/>
  <c r="C74" i="1"/>
  <c r="C72" i="1"/>
  <c r="C70" i="1"/>
  <c r="C68" i="1"/>
  <c r="C75" i="1" s="1"/>
  <c r="C64" i="1"/>
  <c r="C62" i="1"/>
  <c r="C60" i="1"/>
  <c r="C58" i="1"/>
  <c r="C54" i="1"/>
  <c r="C52" i="1"/>
  <c r="C50" i="1"/>
  <c r="C48" i="1"/>
  <c r="C44" i="1"/>
  <c r="C42" i="1"/>
  <c r="C40" i="1"/>
  <c r="C38" i="1"/>
  <c r="C158" i="1"/>
  <c r="B158" i="1"/>
  <c r="E9" i="2"/>
  <c r="C178" i="1"/>
  <c r="E20" i="3"/>
  <c r="E18" i="3"/>
  <c r="E11" i="3"/>
  <c r="E9" i="3"/>
  <c r="E7" i="3"/>
  <c r="B25" i="3" s="1"/>
  <c r="E25" i="2"/>
  <c r="E24" i="2"/>
  <c r="E22" i="2"/>
  <c r="E21" i="2"/>
  <c r="E17" i="2"/>
  <c r="B29" i="2"/>
  <c r="B33" i="2" s="1"/>
  <c r="B182" i="1"/>
  <c r="B187" i="1" s="1"/>
  <c r="C145" i="1"/>
  <c r="C135" i="1"/>
  <c r="C115" i="1"/>
  <c r="C105" i="1"/>
  <c r="C95" i="1"/>
  <c r="C85" i="1"/>
  <c r="C65" i="1"/>
  <c r="C45" i="1"/>
  <c r="A5" i="4" l="1"/>
  <c r="C55" i="1"/>
  <c r="C125" i="1"/>
  <c r="C155" i="1"/>
  <c r="A166" i="1" l="1"/>
</calcChain>
</file>

<file path=xl/sharedStrings.xml><?xml version="1.0" encoding="utf-8"?>
<sst xmlns="http://schemas.openxmlformats.org/spreadsheetml/2006/main" count="392" uniqueCount="240">
  <si>
    <t>Calcul de longeur des câbles par rapport au local technique : 1ère étage</t>
  </si>
  <si>
    <t>Bureau A205 :</t>
  </si>
  <si>
    <t>Detail de calcul</t>
  </si>
  <si>
    <t>longuer Câble en mètre</t>
  </si>
  <si>
    <t>Justifications</t>
  </si>
  <si>
    <t>Câble Rj45 1</t>
  </si>
  <si>
    <t>8m  +2*(2,5)m+6m+1m</t>
  </si>
  <si>
    <t xml:space="preserve">On suppose que la prise se trouve au milieu du bureau, donc 8/2=4m </t>
  </si>
  <si>
    <t>le 2,05m pour la hauteur et le 6m, on suppose que la baie se trouve au milieu 12/2</t>
  </si>
  <si>
    <t>Câble Rj45 2</t>
  </si>
  <si>
    <t>3m+2*(2,5)m+6m+1m</t>
  </si>
  <si>
    <t>On suppose que la prise se trouve à 3m du local, le 2,05m pour la hauteur et le 6m</t>
  </si>
  <si>
    <t>pour le fait que la baie de la brassage se trouve au milieu 12/2=6m</t>
  </si>
  <si>
    <t>Câble Rj45 3</t>
  </si>
  <si>
    <t>2m+2*(2,5)m+6m+1m</t>
  </si>
  <si>
    <t xml:space="preserve">La prise se trouve à 2m du local, le 2,05m pour la hauteur, on le multiplie par 2 </t>
  </si>
  <si>
    <t>pour la montée et la descente, le 6m en local</t>
  </si>
  <si>
    <t>Câble Téléphonie</t>
  </si>
  <si>
    <t>1m+2*(2,5)m +6m+1m</t>
  </si>
  <si>
    <t>La prise se trouve à 1m du local, le 2,05 pour la hauteur</t>
  </si>
  <si>
    <t>Total</t>
  </si>
  <si>
    <t>Bureau A203 :</t>
  </si>
  <si>
    <t>4m+8m++2*(2,5)m+6m+1m</t>
  </si>
  <si>
    <t>On suppose que la prise se trouve au milieu du bureau, donc 8/2=4m plus le 8m, la longueur du A205</t>
  </si>
  <si>
    <t>3m+8m+2*(2,5)m+6m+1m</t>
  </si>
  <si>
    <t>On suppose que la prise se trouve à 3m du A205 plus 8m, la longueur du A205, le2,05m pour la hauteur</t>
  </si>
  <si>
    <t xml:space="preserve"> le 6m    pour le fait que la baie de la brassage se trouve au milieu 12/2=6m</t>
  </si>
  <si>
    <t>2m+8m+2*(2,5)m+6m+1m</t>
  </si>
  <si>
    <t xml:space="preserve">La prise se trouve à 2m du A205 plus 8m, le 2,05m pour la hauteur, on le multiplie par 2 </t>
  </si>
  <si>
    <t>1m+8m+2*(2,5)m +6m+1m</t>
  </si>
  <si>
    <t>La prise se trouve à 1m du A205, le 2,05 pour la hauteur, plus le 8m de la longueur du A205</t>
  </si>
  <si>
    <t>Bureau A201 :</t>
  </si>
  <si>
    <t>4m+16m++2*(2,05)m+6m+1m</t>
  </si>
  <si>
    <t>On suppose que la prise se trouve au milieu du bureau, donc 8/2=4m plus le 16m, la longueur du A205</t>
  </si>
  <si>
    <t>plus A203, le 2,05m pour la hauteur et le 6m, on suppose que la baie se trouve au milieu 12/2</t>
  </si>
  <si>
    <t>3m+16m+2*(2,5)m+6m+1m</t>
  </si>
  <si>
    <t>On suppose que la prise se trouve à 3m du A203 plus 16m, la longueur du A205 plus A205,</t>
  </si>
  <si>
    <t>2m+16m+2*(2,5)m+6m+1m</t>
  </si>
  <si>
    <t xml:space="preserve">La prise se trouve à 2m du A203 plus 16m, le 2,05m pour la hauteur, on le multiplie par 2 </t>
  </si>
  <si>
    <t>1m+16m+2*(2,5)m +6m+1m</t>
  </si>
  <si>
    <t>La prise se trouve à 1m du A203, le 2,05 pour la hauteur, plus le 16m de la longueur du A203 plus A205</t>
  </si>
  <si>
    <t>Bureau A207 :</t>
  </si>
  <si>
    <t>Bureau A209 :</t>
  </si>
  <si>
    <t>4m+8m+2*(2,5)m+6m+1m</t>
  </si>
  <si>
    <t>On suppose que la prise se trouve au milieu du bureau, donc 8/2=4m plus le 8m, la longueur du A207</t>
  </si>
  <si>
    <t>On suppose que la prise se trouve à 3m du A207 plus 8m, la longueur du A207, le2,05m pour la hauteur</t>
  </si>
  <si>
    <t xml:space="preserve">La prise se trouve à 2m du A207 plus 8m, le 2,05m pour la hauteur, on le multiplie par 2 </t>
  </si>
  <si>
    <t>La prise se trouve à 1m du A207, le 2,05 pour la hauteur, plus le 8m de la longueur du A207</t>
  </si>
  <si>
    <t>Bureau A202 :</t>
  </si>
  <si>
    <t>4m+16+2m+2*(2,5)m+6m+1m</t>
  </si>
  <si>
    <t>On suppose que la prise se trouve au milieu du bureau, donc 8/2=4m plus le 16m, la longueur couloir</t>
  </si>
  <si>
    <t xml:space="preserve"> 2m plus la largeur du bureau 4m. </t>
  </si>
  <si>
    <t>3m+16m+2*(2,5)m+6m+2m+1m</t>
  </si>
  <si>
    <t>On suppose que la prise se trouve à 3m du A204 plus le 2m du couloir, le2,05m pour la hauteur</t>
  </si>
  <si>
    <t xml:space="preserve"> le 6m    pour le fait que la baie de la brassage se trouve au milieu 12/2=6m, le 4m la largeur</t>
  </si>
  <si>
    <t>2m+16m+2*(2,5)m+6m+2m+1m</t>
  </si>
  <si>
    <t xml:space="preserve">La prise se trouve à 2m du A204 plus 16m, le 2,05m pour la hauteur, on le multiplie par 2 </t>
  </si>
  <si>
    <t>pour la montée et la descente, le 6m en local, le 2m pour le couloir et le 4m, la largeur</t>
  </si>
  <si>
    <t>1m+16m+2*(2,5)m +6m+2m+1m</t>
  </si>
  <si>
    <t>La prise se trouve à 1m du A204, le 2,05 pour la hauteur, plus le 16m de la longueur entre le local</t>
  </si>
  <si>
    <t>Bureau A204 :</t>
  </si>
  <si>
    <t>4m+8m+2m+m+2*(2,5)m+6m+1m</t>
  </si>
  <si>
    <t>On suppose que la prise se trouve au milieu du bureau, donc 8/2=4m plus le 8m, la longueur du A206</t>
  </si>
  <si>
    <t>3m+8m+2*(2,5)m+6m+2m+1m</t>
  </si>
  <si>
    <t>On suppose que la prise se trouve à 3m du A206 plus 8m, la longueur du A206, le2,05m pour la hauteur</t>
  </si>
  <si>
    <t>2m+8m+2*(2,5)m+6m+2m+1m</t>
  </si>
  <si>
    <t xml:space="preserve">La prise se trouve à 2m du A206, plus 8m, le 2,05m pour la hauteur, on le multiplie par 2 </t>
  </si>
  <si>
    <t>1m+8m+2*(2,5)m +6m+2m+1m</t>
  </si>
  <si>
    <t>La prise se trouve à 1m du A206, le 2,05 pour la hauteur, plus le 8m de la longueur du A206</t>
  </si>
  <si>
    <t>Bureau A206 :</t>
  </si>
  <si>
    <t>4m+2+2*(2,5)m+6m+1m</t>
  </si>
  <si>
    <t>On suppose que la prise se trouve au milieu du bureau, donc 8/2=4m, 2m pour le couloir</t>
  </si>
  <si>
    <t>3m+2*(2,5)m+6m+2m+4m+1m</t>
  </si>
  <si>
    <t>On suppose que la prise se trouve à 3m du service, le2,05m pour la hauteur, 2m la largeur du couloir</t>
  </si>
  <si>
    <t>2m+2*(2,5)m+6m+2m+4m+1m</t>
  </si>
  <si>
    <t xml:space="preserve">La prise se trouve à 2m du bureau de service, le 2,05m pour la hauteur, on le multiplie par 2 </t>
  </si>
  <si>
    <t>pour la montée et la descente, le 6m en local, le 4m pour la largeur du bureau</t>
  </si>
  <si>
    <t>1m+2*(2,5)m +6m+2m+4m+1m</t>
  </si>
  <si>
    <t>La prise se trouve à 1m du bureau de service, le 2,05 pour la hauteur,  plus le 2m du couloir</t>
  </si>
  <si>
    <t>Bureau A208 :</t>
  </si>
  <si>
    <t>4m+2m+2*(2,5)m+6m+1m</t>
  </si>
  <si>
    <t>3m+2*(2,5)m+6m+2m+1m</t>
  </si>
  <si>
    <t>On suppose que la prise se trouve à 3m de service,, le2,05m pour la hauteur</t>
  </si>
  <si>
    <t>2m+2*(2,5)m+6m+2m+1m</t>
  </si>
  <si>
    <t xml:space="preserve">La prise se trouve à 2m du bureau de service plus 8m, le 2,05m pour la hauteur, on le multiplie par 2 </t>
  </si>
  <si>
    <t>pour la montée et la descente, le 6m en local, le 2m pour le couloir plus le 4m, la largeur de bureau</t>
  </si>
  <si>
    <t>1m+2*(2,5)m +6m+2m+1m</t>
  </si>
  <si>
    <t>La prise se trouve à 1m du bureau de service, le 2,05 pour la hauteur, plus le 8m de la longueur du A207</t>
  </si>
  <si>
    <t>Bureau A210 :</t>
  </si>
  <si>
    <t>4m+10+2m+m+2*(2,5)m+6m+1m</t>
  </si>
  <si>
    <t>On suppose que la prise se trouve au milieu du bureau, donc 8/2=4m plus le 10m, la longueur du A208</t>
  </si>
  <si>
    <t>3m+10m+2*(2,5)m+6m+2m+1m</t>
  </si>
  <si>
    <t>On suppose que la prise se trouve à 3m du A208 plus 10m, la longueur du A208, le2,05m pour la hauteur</t>
  </si>
  <si>
    <t>2m+10m+2*(2,5)m+6m+2m+1m</t>
  </si>
  <si>
    <t xml:space="preserve">La prise se trouve à 2m du A208 plus 8m, le 2,05m pour la hauteur, on le multiplie par 2 </t>
  </si>
  <si>
    <t>1m+10m+2*(2,5)m +6m+2m+1m</t>
  </si>
  <si>
    <t>La prise se trouve à 1m du A208, le 2,05 pour la hauteur, plus le 8m de la longueur du A207</t>
  </si>
  <si>
    <t>Services :</t>
  </si>
  <si>
    <t>4m+2m+2*(2,5)m+1m</t>
  </si>
  <si>
    <t>On suppose que la prise se trouve au milieu du bureau, donc 8/2=4m , plus le 4m la largeur</t>
  </si>
  <si>
    <t>2*(2,5)m+2m+1m</t>
  </si>
  <si>
    <t>On suppose que la prise se trouve à 3m du A208, le2,05m pour la hauteur, le 2m la largeur</t>
  </si>
  <si>
    <t>4m+2*(2,05)m+2m+1</t>
  </si>
  <si>
    <t>4m+2*(2,05)m +2m+1m</t>
  </si>
  <si>
    <t>Salle de réunion :</t>
  </si>
  <si>
    <t>4m+16m+2*(2,5)m+6m+1m</t>
  </si>
  <si>
    <t>On suppose que la prise se trouve à 4m du A209, plus le 16m, la longueur du A209</t>
  </si>
  <si>
    <t>plus A207, le 2,05m pour la hauteur et le 6m, on suppose que la baie se trouve au milieu 12/2</t>
  </si>
  <si>
    <t>On suppose que la prise se trouve à 3m du A209 plus 16m, la longueur du A209 plus A207,</t>
  </si>
  <si>
    <t xml:space="preserve">La prise se trouve à 2m du A209 plus 16m, le 2,05m pour la hauteur, on le multiplie par 2 </t>
  </si>
  <si>
    <t>1m+16m+2*(2,05)m +6m+1m</t>
  </si>
  <si>
    <t>La prise se trouve à 1m du A209, le 2,05 pour la hauteur, plus le 16m de la longueur du A209 plus A207</t>
  </si>
  <si>
    <t>Local technique:</t>
  </si>
  <si>
    <t>prix HT</t>
  </si>
  <si>
    <t>Référence</t>
  </si>
  <si>
    <t>Lien</t>
  </si>
  <si>
    <t>Câble Rj45  50cm</t>
  </si>
  <si>
    <t>deleyCON 0,5m CAT7 Câble Réseau - 10 Gigabit</t>
  </si>
  <si>
    <t>https://www.amazon.fr/deleyCON-MK1686-Raccordement-Routeur-Patchpanel/dp/B01KV7YNDG/ref=sr_1_4_sspa?keywords=cable%2Brj45%2B50%2Bcm&amp;qid=1706084097&amp;sr=8-4-spons&amp;sp_csd=d2lkZ2V0TmFtZT1zcF9hdGY&amp;th=1</t>
  </si>
  <si>
    <t>Longueur total de câbles Rj45 pour les trois étages</t>
  </si>
  <si>
    <t>Longeur total de câbles en mètre</t>
  </si>
  <si>
    <t>J'ai multiplué la longueur total de câble du 1ère étage par 3</t>
  </si>
  <si>
    <t>En effet, le trois étage ont le mêmes équipements</t>
  </si>
  <si>
    <t xml:space="preserve"> </t>
  </si>
  <si>
    <t>1000m</t>
  </si>
  <si>
    <t>Descriptions</t>
  </si>
  <si>
    <t>3500m</t>
  </si>
  <si>
    <t>DIGITUS Câble d’installation, Cat.7, S/FTP, 1000m tambour</t>
  </si>
  <si>
    <t>https://cable-informatique.fr/produit/digitus-cable-dinstallation-cat-7-s-ftp-1000m-tambour</t>
  </si>
  <si>
    <t>Calcul de longueur de câbles (fibres) entre les trois étages plus le rez-de-chaussée et le Batiment C</t>
  </si>
  <si>
    <t>5m+10m+20m+100m</t>
  </si>
  <si>
    <t>la hauteur de chaque étage est de 3,5m plus le 1,5m pour</t>
  </si>
  <si>
    <t>longueur en mètre</t>
  </si>
  <si>
    <t>atteindre la baie de brassage du local technique plus 100m</t>
  </si>
  <si>
    <t>10m</t>
  </si>
  <si>
    <t>Description</t>
  </si>
  <si>
    <t>400m</t>
  </si>
  <si>
    <t>Câble AOC SFP+ 10Go/s</t>
  </si>
  <si>
    <t>SFTP-10G-AOC10M-BB</t>
  </si>
  <si>
    <t>https://www.blackbox.fr/fr-fr/fi/1725/14232/Cable-AOC(Active-Optical-Cable)SFP+10-Go-s-Compatible-Cisco-SFP-10G-AOCxM</t>
  </si>
  <si>
    <t>Coût total pour câblage :</t>
  </si>
  <si>
    <t>Equipements pour le 1ère étage</t>
  </si>
  <si>
    <t>Equipements</t>
  </si>
  <si>
    <t>Références</t>
  </si>
  <si>
    <t>Quantité</t>
  </si>
  <si>
    <t>Prix HT (€)</t>
  </si>
  <si>
    <t>Liens</t>
  </si>
  <si>
    <t>Switch</t>
  </si>
  <si>
    <t>Switch L3 Ethernet à 48 Ports, 48x 10GBASE-T, avec 4x QSFP+ 40Gb, Supporte MPLS&amp;MLAG</t>
  </si>
  <si>
    <t>S5850-48T4Q</t>
  </si>
  <si>
    <t>https://www.fs.com/fr/products/69378.html?attribute=69544&amp;id=1808330</t>
  </si>
  <si>
    <t>avec 2x Ports SFP M + liaisons Monatantes 10Gb</t>
  </si>
  <si>
    <t>Module optique</t>
  </si>
  <si>
    <t>Cisco SFP-10G-T-S Compatible Module SFP+ 10GBASE-T en Cuivre RJ-45 30m</t>
  </si>
  <si>
    <t>SFP-10GT-30M</t>
  </si>
  <si>
    <t>https://www.fibrefr.com/p4845.html#quickTab-1</t>
  </si>
  <si>
    <t>Baie de brassage</t>
  </si>
  <si>
    <t>Baie de serveur 32U avec porte perforée 600x800x1600mm (LXPXH)</t>
  </si>
  <si>
    <t>DS6832PP</t>
  </si>
  <si>
    <t>https://www.baiebrassage.fr/baie32u-server-avecporteperforee-600x800x1600mm.html?utm_source=google-surfaces&amp;utm_medium=organic&amp;gad_source=1&amp;gclid=EAIaIQobChMIsYWppsnqgwMVyIpoCR3Y9Q8EEAQYCSABEgLbF_D_BwE</t>
  </si>
  <si>
    <t>Panneau de brassage</t>
  </si>
  <si>
    <t>Panneau de patch cat6 FTP -48 ports</t>
  </si>
  <si>
    <t>DS-Patch6-48FTP</t>
  </si>
  <si>
    <t>https://www.baiebrassage.fr/panneaudepatchcat6-ftp-48-port.html?_gl=1*1br7rqj*_up*MQ..&amp;gclid=EAIaIQobChMIsYWppsnqgwMVyIpoCR3Y9Q8EEAQYCSABEgLbF_D_BwE</t>
  </si>
  <si>
    <t>Borne Wifi</t>
  </si>
  <si>
    <t>Système Mesh WiFi 6 Orbi Série 860 Tri band, pack de 3</t>
  </si>
  <si>
    <t>RBK863S</t>
  </si>
  <si>
    <t>https://www.netgear.com/fr/home/wifi/mesh/rbk863s/?cid=fr-best-wifi6-srch-cpc&amp;utm_source=shopping&amp;utm_medium=cpc&amp;utm_campaign=fr-best-wifi6-shopping-cpc&amp;gad_source=1&amp;gclid=EAIaIQobChMIxZ7svMvqgwMVTodoCR1bZgc2EAQYAiABEgKjofD_BwE</t>
  </si>
  <si>
    <t>port 10Gb</t>
  </si>
  <si>
    <t>Téléphone  VoIP</t>
  </si>
  <si>
    <t>Cisco IP Phone 8865 téléphone fixe</t>
  </si>
  <si>
    <t>CP-8865-K9</t>
  </si>
  <si>
    <t>https://www.senetic.fr/product/CP-8865-K9=?gad_source=1&amp;gclid=EAIaIQobChMIoc3St9TqgwMVK0RBAh0DPwX_EAQYCCABEgIe9_D_BwE</t>
  </si>
  <si>
    <t>Imprimante</t>
  </si>
  <si>
    <t xml:space="preserve">Imprimante multifonction HP Laser Jet Entreprise </t>
  </si>
  <si>
    <t>HP LaserJet Enterprise M528dn</t>
  </si>
  <si>
    <t>https://www.hp.com/fr-fr/shop/product.aspx?id=1PV64A&amp;opt=B19&amp;sel=PRN&amp;source=google&amp;channel=cpc&amp;adcampaign=OLS-FR-Mix-Top-Goo-Pmax&amp;addisttype=xpla&amp;kw=&amp;adid=&amp;gad_source=1&amp;gclid=EAIaIQobChMIrO-nktHqgwMV7pFQBh3-vgnwEAQYByABEgIekPD_BwE&amp;gclsrc=aw.ds</t>
  </si>
  <si>
    <t>M528db, jusqu'à 52 ppm</t>
  </si>
  <si>
    <t>Ecran</t>
  </si>
  <si>
    <t>Lenovo ThinkVision s22e-20 -écran LED -Full HD -21,5"</t>
  </si>
  <si>
    <t>:7261587</t>
  </si>
  <si>
    <t>https://www.inmac-wstore.com/lenovo-thinkvision-s22e-20-ecran-led-full-hd-1080p-21-5/p7261587.htm?gad_source=1&amp;gclid=EAIaIQobChMIu8aJmNbqgwMVf1lBAh23XgA0EAQYAiABEgJVvPD_BwE#coagent=1262881</t>
  </si>
  <si>
    <t>Ordinanteur de bureau</t>
  </si>
  <si>
    <t>Processeur intel Core i5-13400(cahe 20Mo, 10 cœurs,</t>
  </si>
  <si>
    <t>https://www.dell.com/fr-fr/shop/cty/pdp/spd/inspiron-3020-small-desktop/cd205008?gacd=9695581-5508-5761040-271258816-0&amp;dgc=ST&amp;SA360CID=71700000111247192&amp;&amp;gad_source=1&amp;gclid=EAIaIQobChMIp5H1vNfqgwMVMpFQBh3n_Q-sEAQYESABEgJinvD_BwE&amp;gclsrc=aw.ds</t>
  </si>
  <si>
    <t>2,5GHz à 4,6 GHz Turbo), Windows 11 Famille, stockage 512 Go</t>
  </si>
  <si>
    <t>Clavier</t>
  </si>
  <si>
    <t>V7 KU200FR Clavier, USB, noir, disposition française</t>
  </si>
  <si>
    <t>KU200FR</t>
  </si>
  <si>
    <t>https://www.reichelt.com/fr/fr/clavier-usb-noir-disposition-fran-aise-v7-ku200fr-p231835.html?PROVID=2810&amp;gclid=EAIaIQobChMIxP6RttrqgwMVkhYGAB1elQmqEAQYASABEgIl4vD_BwE</t>
  </si>
  <si>
    <t>Souris</t>
  </si>
  <si>
    <t>LOGITECH M185 GR, souris sans fil, 2,5GHz</t>
  </si>
  <si>
    <t>M185</t>
  </si>
  <si>
    <t>https://www.reichelt.com/fr/fr/wireless-mouse-m185-usb-logitech-m185-gr-p116920.html?&amp;nbc=1&amp;trstct=lsbght_sldr::231835</t>
  </si>
  <si>
    <t>Vidéoprojecteur</t>
  </si>
  <si>
    <t>Vidéoprojecteur Full HD 9800 lm LB-9600</t>
  </si>
  <si>
    <t>LB-96000</t>
  </si>
  <si>
    <t>https://www.pearl.fr/article/ZX3430/videoprojecteur-full-hd-9800-lm-lb-9600-avec-lecteur-multimedia?gad_source=1</t>
  </si>
  <si>
    <t>Prix total des équipement pour le 1ère étage (€)</t>
  </si>
  <si>
    <t>Prix total des équipement pour les 3 étages (€)</t>
  </si>
  <si>
    <t xml:space="preserve">Les trois étages disponsant les mêmes équipements, </t>
  </si>
  <si>
    <t>j'ai multiplié la somme du 1ère étage par 3.</t>
  </si>
  <si>
    <t>Equipements pour Rez-de-chaussée</t>
  </si>
  <si>
    <t>lien</t>
  </si>
  <si>
    <t>Hyperviseur type 1</t>
  </si>
  <si>
    <t>VMWARE Vsphere 8 ESSENTIALS PLUS KIT</t>
  </si>
  <si>
    <t>VSB-ESP-KIT-C</t>
  </si>
  <si>
    <t>https://www.wiresoft.fr/vmware-vsphere-8-essentials-plus-kit</t>
  </si>
  <si>
    <t>Licences VMWARE</t>
  </si>
  <si>
    <t>Serveur Windows server 2022</t>
  </si>
  <si>
    <t>Serveur HP ML350 GEN9 8LFF</t>
  </si>
  <si>
    <t>230-1414</t>
  </si>
  <si>
    <t>https://servermall.com/fr/catalog/servers/server-hpe-ml350-gen9-8-3-5-2/</t>
  </si>
  <si>
    <t>Licence Windows Server 2022</t>
  </si>
  <si>
    <t>SW10459</t>
  </si>
  <si>
    <t>https://www.wiresoft.fr/microsoft-windows-server-2022-standard-16-core?gclid=EAIaIQobChMI7are_8bugwMVgJJoCR00ywRTEAQYDyABEgIeGvD_BwE</t>
  </si>
  <si>
    <t>Disques nmve</t>
  </si>
  <si>
    <t>e disque SSD M.2 NVMe PCIe 4.0 x4 Corsair MP600 CORE XT</t>
  </si>
  <si>
    <t>CSSD-F2000GBMP600CXT</t>
  </si>
  <si>
    <t>https://www.ldlc.com/fiche/PB00549971.html</t>
  </si>
  <si>
    <t>Dispositif de stockage san</t>
  </si>
  <si>
    <t>RackStation RS2821RP+, stockage hautes performances pour la protection des données, le traitement de fichiers, etc.</t>
  </si>
  <si>
    <t xml:space="preserve"> RS2821RP+</t>
  </si>
  <si>
    <t>https://www.w3cam.fr/boutique/nas-synology/5590-nas-synology-rackstation-rs2821rp-nas-synology-4711174723997.html?gad_source=1&amp;gclid=EAIaIQobChMIofLiiNP1gwMVjY1oCR2IrQ03EAYYBSABEgIc0_D_BwE</t>
  </si>
  <si>
    <t>Routeur</t>
  </si>
  <si>
    <t>Cisco ASR1002X-5G-G9</t>
  </si>
  <si>
    <t>ASR1002X-5G-K9</t>
  </si>
  <si>
    <t>https://it-planet.com/fr/p/cisco-asr1002x-5g-k9-511.html?number=A1000560.1&amp;gad_source=1&amp;gclid=EAIaIQobChMIjr-phc_ugwMVFoRoCR3mlAxYEAQYCCABEgINyPD_BwE</t>
  </si>
  <si>
    <t>Switchs</t>
  </si>
  <si>
    <t>ST SFP10GSRST Mini GBIC, 10GBase-SR LC, multimode</t>
  </si>
  <si>
    <t>ST SFP10GSRST</t>
  </si>
  <si>
    <t>https://www.reichelt.com/fr/fr/mini-gbic-10gbase-sr-lc-multimode-st-sfp10gsrst-p330259.html?PROVID=2810&amp;gclid=EAIaIQobChMIiY3G7sfqgwMVgj8GAB0eiwUQEAQYFyABEgJmVPD_BwE</t>
  </si>
  <si>
    <t>Baie de serveur 32U avec porte perforée 500x800x1600</t>
  </si>
  <si>
    <t>https://eurocapa.com/hp-lecteur-de-bande-externe-lto-6-ultrium-6250-interface-sas-livre-avec-5-cartouches-lto-6.html</t>
  </si>
  <si>
    <t>Unité de sauvegarde sur bandes</t>
  </si>
  <si>
    <t>HP Lecteur de bande externe StoreEver LTO-6 Ultrium 6250 interface SAS - livré avec 5 cartouches LTO-6</t>
  </si>
  <si>
    <t>E7W39A</t>
  </si>
  <si>
    <t>Prix total des équipements pour le rez-de-chassée (€)</t>
  </si>
  <si>
    <t>DEVIS</t>
  </si>
  <si>
    <t>Prix total du calcul des câbles + des équipements des étages et des équipements du rez-de-chaussé (€)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</si>
</sst>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&quot; &quot;[$€-40C];[Red]&quot;-&quot;#,##0.00&quot; &quot;[$€-40C]"/>
    <numFmt numFmtId="165" formatCode="#,##0&quot; &quot;[$€-40C];[Red]&quot;-&quot;#,##0&quot; &quot;[$€-40C]"/>
  </numFmts>
  <fonts count="13">
    <font>
      <sz val="11"/>
      <color rgb="FF000000"/>
      <name val="Aptos Narrow"/>
      <family val="2"/>
    </font>
    <font>
      <u/>
      <sz val="11"/>
      <color rgb="FF467886"/>
      <name val="Aptos Narrow"/>
      <family val="2"/>
    </font>
    <font>
      <b/>
      <sz val="18"/>
      <color rgb="FF000000"/>
      <name val="Aptos Narrow"/>
      <family val="2"/>
    </font>
    <font>
      <b/>
      <sz val="11"/>
      <color rgb="FF000000"/>
      <name val="Aptos Narrow"/>
      <family val="2"/>
    </font>
    <font>
      <b/>
      <sz val="24"/>
      <color rgb="FF000000"/>
      <name val="Aptos Narrow"/>
      <family val="2"/>
    </font>
    <font>
      <b/>
      <sz val="22"/>
      <color rgb="FF000000"/>
      <name val="Aptos Narrow"/>
      <family val="2"/>
    </font>
    <font>
      <b/>
      <sz val="14"/>
      <color rgb="FF000000"/>
      <name val="Aptos Narrow"/>
      <family val="2"/>
    </font>
    <font>
      <sz val="12"/>
      <color rgb="FF000000"/>
      <name val="Aptos Narrow"/>
      <family val="2"/>
    </font>
    <font>
      <sz val="7"/>
      <color rgb="FF000000"/>
      <name val="Aptos Narrow"/>
      <family val="2"/>
    </font>
    <font>
      <b/>
      <sz val="16"/>
      <color rgb="FF000000"/>
      <name val="Aptos Narrow"/>
      <family val="2"/>
    </font>
    <font>
      <u/>
      <sz val="11"/>
      <color theme="10"/>
      <name val="Aptos Narrow"/>
      <family val="2"/>
    </font>
    <font>
      <sz val="10"/>
      <color rgb="FF969696"/>
      <name val="Montserrat"/>
      <charset val="1"/>
    </font>
    <font>
      <sz val="10"/>
      <color rgb="FF505050"/>
      <name val="Montserrat"/>
      <charset val="1"/>
    </font>
  </fonts>
  <fills count="6">
    <fill>
      <patternFill patternType="none"/>
    </fill>
    <fill>
      <patternFill patternType="gray125"/>
    </fill>
    <fill>
      <patternFill patternType="solid">
        <fgColor rgb="FFFBE2D5"/>
        <bgColor rgb="FFFBE2D5"/>
      </patternFill>
    </fill>
    <fill>
      <patternFill patternType="solid">
        <fgColor rgb="FFF2CEEF"/>
        <bgColor rgb="FFF2CEEF"/>
      </patternFill>
    </fill>
    <fill>
      <patternFill patternType="solid">
        <fgColor rgb="FFF7C7AC"/>
        <bgColor rgb="FFF7C7AC"/>
      </patternFill>
    </fill>
    <fill>
      <patternFill patternType="solid">
        <fgColor theme="8" tint="0.59999389629810485"/>
        <bgColor indexed="64"/>
      </patternFill>
    </fill>
  </fills>
  <borders count="43">
    <border>
      <left/>
      <right/>
      <top/>
      <bottom/>
      <diagonal/>
    </border>
    <border>
      <left style="thick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/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rgb="FF000000"/>
      </bottom>
      <diagonal/>
    </border>
    <border>
      <left style="double">
        <color rgb="FF000000"/>
      </left>
      <right/>
      <top style="thick">
        <color rgb="FF000000"/>
      </top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thick">
        <color rgb="FF000000"/>
      </top>
      <bottom/>
      <diagonal/>
    </border>
    <border>
      <left style="double">
        <color rgb="FF000000"/>
      </left>
      <right style="double">
        <color rgb="FF000000"/>
      </right>
      <top/>
      <bottom style="double">
        <color rgb="FF000000"/>
      </bottom>
      <diagonal/>
    </border>
    <border>
      <left style="double">
        <color rgb="FF000000"/>
      </left>
      <right style="double">
        <color rgb="FF000000"/>
      </right>
      <top style="medium">
        <color rgb="FF000000"/>
      </top>
      <bottom style="double">
        <color rgb="FF000000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10" fillId="0" borderId="0" applyNumberFormat="0" applyFill="0" applyBorder="0" applyAlignment="0" applyProtection="0"/>
  </cellStyleXfs>
  <cellXfs count="84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3" fillId="0" borderId="14" xfId="0" applyFont="1" applyBorder="1"/>
    <xf numFmtId="0" fontId="3" fillId="0" borderId="15" xfId="0" applyFont="1" applyBorder="1"/>
    <xf numFmtId="0" fontId="4" fillId="0" borderId="0" xfId="0" applyFont="1"/>
    <xf numFmtId="164" fontId="0" fillId="0" borderId="0" xfId="0" applyNumberFormat="1"/>
    <xf numFmtId="0" fontId="0" fillId="0" borderId="17" xfId="0" applyBorder="1"/>
    <xf numFmtId="0" fontId="0" fillId="0" borderId="18" xfId="0" applyBorder="1"/>
    <xf numFmtId="164" fontId="0" fillId="0" borderId="19" xfId="0" applyNumberFormat="1" applyBorder="1"/>
    <xf numFmtId="0" fontId="0" fillId="0" borderId="20" xfId="0" applyBorder="1" applyAlignment="1">
      <alignment vertical="center"/>
    </xf>
    <xf numFmtId="0" fontId="0" fillId="0" borderId="20" xfId="0" applyBorder="1"/>
    <xf numFmtId="164" fontId="0" fillId="0" borderId="15" xfId="0" applyNumberFormat="1" applyBorder="1"/>
    <xf numFmtId="0" fontId="0" fillId="0" borderId="21" xfId="0" applyBorder="1"/>
    <xf numFmtId="0" fontId="3" fillId="0" borderId="8" xfId="0" applyFont="1" applyBorder="1"/>
    <xf numFmtId="164" fontId="0" fillId="0" borderId="9" xfId="0" applyNumberFormat="1" applyBorder="1"/>
    <xf numFmtId="0" fontId="0" fillId="0" borderId="22" xfId="0" applyBorder="1"/>
    <xf numFmtId="0" fontId="0" fillId="0" borderId="23" xfId="0" applyBorder="1"/>
    <xf numFmtId="0" fontId="5" fillId="0" borderId="0" xfId="0" applyFont="1"/>
    <xf numFmtId="0" fontId="0" fillId="2" borderId="24" xfId="0" applyFill="1" applyBorder="1"/>
    <xf numFmtId="0" fontId="0" fillId="0" borderId="25" xfId="0" applyBorder="1"/>
    <xf numFmtId="0" fontId="0" fillId="2" borderId="26" xfId="0" applyFill="1" applyBorder="1"/>
    <xf numFmtId="0" fontId="0" fillId="2" borderId="27" xfId="0" applyFill="1" applyBorder="1"/>
    <xf numFmtId="0" fontId="0" fillId="0" borderId="28" xfId="0" applyBorder="1"/>
    <xf numFmtId="165" fontId="0" fillId="0" borderId="28" xfId="0" applyNumberFormat="1" applyBorder="1"/>
    <xf numFmtId="165" fontId="0" fillId="0" borderId="14" xfId="0" applyNumberFormat="1" applyBorder="1"/>
    <xf numFmtId="0" fontId="4" fillId="3" borderId="24" xfId="0" applyFont="1" applyFill="1" applyBorder="1"/>
    <xf numFmtId="164" fontId="6" fillId="0" borderId="28" xfId="0" applyNumberFormat="1" applyFont="1" applyBorder="1"/>
    <xf numFmtId="0" fontId="0" fillId="2" borderId="29" xfId="0" applyFill="1" applyBorder="1"/>
    <xf numFmtId="0" fontId="0" fillId="2" borderId="30" xfId="0" applyFill="1" applyBorder="1"/>
    <xf numFmtId="0" fontId="0" fillId="2" borderId="31" xfId="0" applyFill="1" applyBorder="1"/>
    <xf numFmtId="0" fontId="0" fillId="2" borderId="32" xfId="0" applyFill="1" applyBorder="1"/>
    <xf numFmtId="0" fontId="0" fillId="2" borderId="33" xfId="0" applyFill="1" applyBorder="1"/>
    <xf numFmtId="0" fontId="0" fillId="0" borderId="34" xfId="0" applyBorder="1" applyAlignment="1">
      <alignment vertical="center"/>
    </xf>
    <xf numFmtId="0" fontId="0" fillId="0" borderId="35" xfId="0" applyBorder="1"/>
    <xf numFmtId="0" fontId="0" fillId="0" borderId="34" xfId="0" applyBorder="1"/>
    <xf numFmtId="0" fontId="0" fillId="0" borderId="36" xfId="0" applyBorder="1"/>
    <xf numFmtId="0" fontId="1" fillId="0" borderId="12" xfId="1" applyBorder="1"/>
    <xf numFmtId="0" fontId="7" fillId="0" borderId="17" xfId="0" applyFont="1" applyBorder="1" applyAlignment="1">
      <alignment vertical="center"/>
    </xf>
    <xf numFmtId="0" fontId="8" fillId="0" borderId="37" xfId="0" applyFont="1" applyBorder="1"/>
    <xf numFmtId="0" fontId="1" fillId="0" borderId="14" xfId="1" applyBorder="1"/>
    <xf numFmtId="0" fontId="7" fillId="0" borderId="37" xfId="0" applyFont="1" applyBorder="1" applyAlignment="1">
      <alignment vertical="center"/>
    </xf>
    <xf numFmtId="0" fontId="0" fillId="0" borderId="37" xfId="0" applyBorder="1"/>
    <xf numFmtId="0" fontId="1" fillId="0" borderId="15" xfId="1" applyBorder="1"/>
    <xf numFmtId="0" fontId="9" fillId="4" borderId="38" xfId="0" applyFont="1" applyFill="1" applyBorder="1"/>
    <xf numFmtId="0" fontId="9" fillId="0" borderId="18" xfId="0" applyFont="1" applyBorder="1"/>
    <xf numFmtId="0" fontId="6" fillId="0" borderId="39" xfId="0" applyFont="1" applyBorder="1"/>
    <xf numFmtId="0" fontId="0" fillId="0" borderId="40" xfId="0" applyBorder="1"/>
    <xf numFmtId="0" fontId="0" fillId="0" borderId="41" xfId="0" applyBorder="1"/>
    <xf numFmtId="0" fontId="0" fillId="2" borderId="0" xfId="0" applyFill="1"/>
    <xf numFmtId="0" fontId="0" fillId="0" borderId="11" xfId="0" applyBorder="1" applyAlignment="1">
      <alignment vertical="center"/>
    </xf>
    <xf numFmtId="0" fontId="0" fillId="0" borderId="14" xfId="0" applyBorder="1" applyAlignment="1">
      <alignment vertical="center"/>
    </xf>
    <xf numFmtId="0" fontId="1" fillId="0" borderId="20" xfId="1" applyFill="1" applyBorder="1"/>
    <xf numFmtId="0" fontId="9" fillId="4" borderId="24" xfId="0" applyFont="1" applyFill="1" applyBorder="1"/>
    <xf numFmtId="0" fontId="5" fillId="0" borderId="42" xfId="0" applyFont="1" applyBorder="1"/>
    <xf numFmtId="0" fontId="10" fillId="0" borderId="35" xfId="2" applyBorder="1"/>
    <xf numFmtId="0" fontId="0" fillId="0" borderId="0" xfId="0" applyFont="1" applyAlignment="1">
      <alignment vertical="center"/>
    </xf>
    <xf numFmtId="0" fontId="10" fillId="0" borderId="22" xfId="2" applyBorder="1"/>
    <xf numFmtId="0" fontId="10" fillId="0" borderId="0" xfId="2"/>
    <xf numFmtId="0" fontId="10" fillId="0" borderId="5" xfId="2" applyBorder="1"/>
    <xf numFmtId="0" fontId="6" fillId="0" borderId="0" xfId="0" applyFont="1"/>
    <xf numFmtId="0" fontId="10" fillId="0" borderId="20" xfId="2" applyFill="1" applyBorder="1"/>
    <xf numFmtId="0" fontId="6" fillId="5" borderId="0" xfId="0" applyFont="1" applyFill="1"/>
    <xf numFmtId="0" fontId="4" fillId="0" borderId="0" xfId="0" applyFont="1" applyAlignment="1">
      <alignment horizontal="center"/>
    </xf>
    <xf numFmtId="0" fontId="3" fillId="0" borderId="5" xfId="0" applyFont="1" applyBorder="1"/>
    <xf numFmtId="0" fontId="11" fillId="0" borderId="0" xfId="0" applyFont="1"/>
    <xf numFmtId="0" fontId="12" fillId="0" borderId="0" xfId="0" applyFont="1"/>
  </cellXfs>
  <cellStyles count="3">
    <cellStyle name="Hyperlink" xfId="2" xr:uid="{00000000-000B-0000-0000-000008000000}"/>
    <cellStyle name="Lien hypertexte" xfId="1" xr:uid="{00000000-0005-0000-0000-000000000000}"/>
    <cellStyle name="Normal" xfId="0" builtinId="0" customBuiltin="1"/>
  </cellStyles>
  <dxfs count="8"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0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24"/>
        <color rgb="FF000000"/>
        <name val="Aptos Narrow"/>
        <family val="2"/>
        <scheme val="none"/>
      </font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rgb="FF000000"/>
        <name val="Aptos Narrow"/>
        <family val="2"/>
        <scheme val="none"/>
      </font>
      <fill>
        <patternFill patternType="solid">
          <fgColor indexed="64"/>
          <bgColor theme="8" tint="0.59999389629810485"/>
        </patternFill>
      </fill>
    </dxf>
    <dxf>
      <border outline="0">
        <top style="thin">
          <color rgb="FF000000"/>
        </top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171450</xdr:colOff>
      <xdr:row>18</xdr:row>
      <xdr:rowOff>133346</xdr:rowOff>
    </xdr:from>
    <xdr:ext cx="6163531" cy="2534003"/>
    <xdr:pic>
      <xdr:nvPicPr>
        <xdr:cNvPr id="3" name="Image 1">
          <a:extLst>
            <a:ext uri="{FF2B5EF4-FFF2-40B4-BE49-F238E27FC236}">
              <a16:creationId xmlns:a16="http://schemas.microsoft.com/office/drawing/2014/main" id="{ECFA3598-851C-E46E-F55E-F66AB3B7E5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57425" y="3562346"/>
          <a:ext cx="6163531" cy="2534003"/>
        </a:xfrm>
        <a:prstGeom prst="rect">
          <a:avLst/>
        </a:prstGeom>
        <a:noFill/>
        <a:ln cap="flat">
          <a:noFill/>
        </a:ln>
      </xdr:spPr>
    </xdr:pic>
    <xdr:clientData/>
  </xdr:oneCellAnchor>
  <xdr:oneCellAnchor>
    <xdr:from>
      <xdr:col>0</xdr:col>
      <xdr:colOff>0</xdr:colOff>
      <xdr:row>0</xdr:row>
      <xdr:rowOff>0</xdr:rowOff>
    </xdr:from>
    <xdr:ext cx="11534771" cy="2943225"/>
    <xdr:pic>
      <xdr:nvPicPr>
        <xdr:cNvPr id="2" name="Image 2" descr="Une image contenant texte, capture d’écran, Police, nombre&#10;&#10;Description générée automatiquement">
          <a:extLst>
            <a:ext uri="{FF2B5EF4-FFF2-40B4-BE49-F238E27FC236}">
              <a16:creationId xmlns:a16="http://schemas.microsoft.com/office/drawing/2014/main" id="{F817887D-CC01-7D8C-E201-63C4F077E2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1534771" cy="2943225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EF704F63-B3CA-4191-95D7-78BC10F47B21}" name="Tableau4" displayName="Tableau4" ref="A22:E22" headerRowCount="0" totalsRowShown="0" tableBorderDxfId="7">
  <tableColumns count="5">
    <tableColumn id="1" xr3:uid="{E57B21E8-B846-4A09-B0CB-2BF4F81D5AD7}" name="Colonne1"/>
    <tableColumn id="2" xr3:uid="{C586DD3B-45C9-4010-BC8A-C7ED664C4F2B}" name="Colonne2"/>
    <tableColumn id="3" xr3:uid="{B95427FD-F4D4-4050-A915-EE0678DEA948}" name="Colonne3"/>
    <tableColumn id="4" xr3:uid="{3393E86A-13DD-4E63-8C0E-A49604E23FCF}" name="Colonne4"/>
    <tableColumn id="5" xr3:uid="{A7FA124D-2232-4AE5-A4A0-C82E6ED0ED55}" name="Colonne5">
      <calculatedColumnFormula>2250</calculatedColumnFormula>
    </tableColumn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F6E6FFBF-84ED-4398-9399-D6CF44538921}" name="Tableau2" displayName="Tableau2" ref="A4:A5" totalsRowShown="0" headerRowDxfId="6" dataDxfId="5">
  <autoFilter ref="A4:A5" xr:uid="{F6E6FFBF-84ED-4398-9399-D6CF44538921}">
    <filterColumn colId="0" hiddenButton="1"/>
  </autoFilter>
  <tableColumns count="1">
    <tableColumn id="1" xr3:uid="{8B6D8FB9-AE15-474F-9FC2-BDB02E65FEAA}" name="Prix total du calcul des câbles + des équipements des étages et des équipements du rez-de-chaussé (€)" dataDxfId="4">
      <calculatedColumnFormula>Calcul_câble!B187+Equipements_étages!B33+'Equipement-rez-de-chaussée'!B25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54A327E9-CF33-4C56-B524-174BACEDC7A8}" name="Tableau3" displayName="Tableau3" ref="A2" headerRowCount="0" totalsRowShown="0" headerRowDxfId="3" dataDxfId="2">
  <tableColumns count="1">
    <tableColumn id="1" xr3:uid="{F814F5F3-B9C4-4459-926B-68AE07651D0C}" name="Colonne1" headerRowDxfId="1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mazon.fr/deleyCON-MK1686-Raccordement-Routeur-Patchpanel/dp/B01KV7YNDG/ref=sr_1_4_sspa?keywords=cable%2Brj45%2B50%2Bcm&amp;qid=1706084097&amp;sr=8-4-spons&amp;sp_csd=d2lkZ2V0TmFtZT1zcF9hdGY&amp;th=1" TargetMode="External"/><Relationship Id="rId2" Type="http://schemas.openxmlformats.org/officeDocument/2006/relationships/hyperlink" Target="https://www.blackbox.fr/fr-fr/fi/1725/14232/Cable-AOC(Active-Optical-Cable)SFP+10-Go-s-Compatible-Cisco-SFP-10G-AOCxM" TargetMode="External"/><Relationship Id="rId1" Type="http://schemas.openxmlformats.org/officeDocument/2006/relationships/hyperlink" Target="https://cable-informatique.fr/produit/digitus-cable-dinstallation-cat-7-s-ftp-1000m-tambour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inmac-wstore.com/lenovo-thinkvision-s22e-20-ecran-led-full-hd-1080p-21-5/p7261587.htm?gad_source=1&amp;gclid=EAIaIQobChMIu8aJmNbqgwMVf1lBAh23XgA0EAQYAiABEgJVvPD_BwE" TargetMode="External"/><Relationship Id="rId3" Type="http://schemas.openxmlformats.org/officeDocument/2006/relationships/hyperlink" Target="https://www.baiebrassage.fr/baie32u-server-avecporteperforee-600x800x1600mm.html?utm_source=google-surfaces&amp;utm_medium=organic&amp;gad_source=1&amp;gclid=EAIaIQobChMIsYWppsnqgwMVyIpoCR3Y9Q8EEAQYCSABEgLbF_D_BwE" TargetMode="External"/><Relationship Id="rId7" Type="http://schemas.openxmlformats.org/officeDocument/2006/relationships/hyperlink" Target="https://www.hp.com/fr-fr/shop/product.aspx?id=1PV64A&amp;opt=B19&amp;sel=PRN&amp;source=google&amp;channel=cpc&amp;adcampaign=OLS-FR-Mix-Top-Goo-Pmax&amp;addisttype=xpla&amp;kw=&amp;adid=&amp;gad_source=1&amp;gclid=EAIaIQobChMIrO-nktHqgwMV7pFQBh3-vgnwEAQYByABEgIekPD_BwE&amp;gclsrc=aw.ds" TargetMode="External"/><Relationship Id="rId12" Type="http://schemas.openxmlformats.org/officeDocument/2006/relationships/hyperlink" Target="https://www.pearl.fr/article/ZX3430/videoprojecteur-full-hd-9800-lm-lb-9600-avec-lecteur-multimedia?gad_source=1" TargetMode="External"/><Relationship Id="rId2" Type="http://schemas.openxmlformats.org/officeDocument/2006/relationships/hyperlink" Target="https://www.fibrefr.com/p4845.html#quickTab-1" TargetMode="External"/><Relationship Id="rId1" Type="http://schemas.openxmlformats.org/officeDocument/2006/relationships/hyperlink" Target="https://www.fs.com/fr/products/69378.html?attribute=69544&amp;id=1808330" TargetMode="External"/><Relationship Id="rId6" Type="http://schemas.openxmlformats.org/officeDocument/2006/relationships/hyperlink" Target="https://www.senetic.fr/product/CP-8865-K9=?gad_source=1&amp;gclid=EAIaIQobChMIoc3St9TqgwMVK0RBAh0DPwX_EAQYCCABEgIe9_D_BwE" TargetMode="External"/><Relationship Id="rId11" Type="http://schemas.openxmlformats.org/officeDocument/2006/relationships/hyperlink" Target="https://www.reichelt.com/fr/fr/wireless-mouse-m185-usb-logitech-m185-gr-p116920.html?&amp;nbc=1&amp;trstct=lsbght_sldr::231835" TargetMode="External"/><Relationship Id="rId5" Type="http://schemas.openxmlformats.org/officeDocument/2006/relationships/hyperlink" Target="https://www.netgear.com/fr/home/wifi/mesh/rbk863s/?cid=fr-best-wifi6-srch-cpc&amp;utm_source=shopping&amp;utm_medium=cpc&amp;utm_campaign=fr-best-wifi6-shopping-cpc&amp;gad_source=1&amp;gclid=EAIaIQobChMIxZ7svMvqgwMVTodoCR1bZgc2EAQYAiABEgKjofD_BwE" TargetMode="External"/><Relationship Id="rId10" Type="http://schemas.openxmlformats.org/officeDocument/2006/relationships/hyperlink" Target="https://www.reichelt.com/fr/fr/clavier-usb-noir-disposition-fran-aise-v7-ku200fr-p231835.html?PROVID=2810&amp;gclid=EAIaIQobChMIxP6RttrqgwMVkhYGAB1elQmqEAQYASABEgIl4vD_BwE" TargetMode="External"/><Relationship Id="rId4" Type="http://schemas.openxmlformats.org/officeDocument/2006/relationships/hyperlink" Target="https://www.baiebrassage.fr/panneaudepatchcat6-ftp-48-port.html?_gl=1*1br7rqj*_up*MQ..&amp;gclid=EAIaIQobChMIsYWppsnqgwMVyIpoCR3Y9Q8EEAQYCSABEgLbF_D_BwE" TargetMode="External"/><Relationship Id="rId9" Type="http://schemas.openxmlformats.org/officeDocument/2006/relationships/hyperlink" Target="https://www.dell.com/fr-fr/shop/cty/pdp/spd/inspiron-3020-small-desktop/cd205008?gacd=9695581-5508-5761040-271258816-0&amp;dgc=ST&amp;SA360CID=71700000111247192&amp;&amp;gad_source=1&amp;gclid=EAIaIQobChMIp5H1vNfqgwMVMpFQBh3n_Q-sEAQYESABEgJinvD_BwE&amp;gclsrc=aw.ds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wiresoft.fr/microsoft-windows-server-2022-standard-16-core?gclid=EAIaIQobChMI7are_8bugwMVgJJoCR00ywRTEAQYDyABEgIeGvD_BwE" TargetMode="External"/><Relationship Id="rId3" Type="http://schemas.openxmlformats.org/officeDocument/2006/relationships/hyperlink" Target="https://www.baiebrassage.fr/baie32u-server-avecporteperforee-600x800x1600mm.html?utm_source=google-surfaces&amp;utm_medium=organic&amp;gad_source=1&amp;gclid=EAIaIQobChMIsYWppsnqgwMVyIpoCR3Y9Q8EEAQYCSABEgLbF_D_BwE" TargetMode="External"/><Relationship Id="rId7" Type="http://schemas.openxmlformats.org/officeDocument/2006/relationships/hyperlink" Target="https://servermall.com/fr/catalog/servers/server-hpe-ml350-gen9-8-3-5-2/" TargetMode="External"/><Relationship Id="rId2" Type="http://schemas.openxmlformats.org/officeDocument/2006/relationships/hyperlink" Target="https://www.reichelt.com/fr/fr/mini-gbic-10gbase-sr-lc-multimode-st-sfp10gsrst-p330259.html?PROVID=2810&amp;gclid=EAIaIQobChMIiY3G7sfqgwMVgj8GAB0eiwUQEAQYFyABEgJmVPD_BwE" TargetMode="External"/><Relationship Id="rId1" Type="http://schemas.openxmlformats.org/officeDocument/2006/relationships/hyperlink" Target="https://www.fs.com/fr/products/69378.html?attribute=69544&amp;id=1808330" TargetMode="External"/><Relationship Id="rId6" Type="http://schemas.openxmlformats.org/officeDocument/2006/relationships/hyperlink" Target="https://www.ldlc.com/fiche/PB00549971.html" TargetMode="External"/><Relationship Id="rId5" Type="http://schemas.openxmlformats.org/officeDocument/2006/relationships/hyperlink" Target="https://www.w3cam.fr/boutique/nas-synology/5590-nas-synology-rackstation-rs2821rp-nas-synology-4711174723997.html?gad_source=1&amp;gclid=EAIaIQobChMIofLiiNP1gwMVjY1oCR2IrQ03EAYYBSABEgIc0_D_BwE" TargetMode="External"/><Relationship Id="rId10" Type="http://schemas.openxmlformats.org/officeDocument/2006/relationships/table" Target="../tables/table1.xml"/><Relationship Id="rId4" Type="http://schemas.openxmlformats.org/officeDocument/2006/relationships/hyperlink" Target="https://www.wiresoft.fr/vmware-vsphere-8-essentials-plus-kit" TargetMode="External"/><Relationship Id="rId9" Type="http://schemas.openxmlformats.org/officeDocument/2006/relationships/hyperlink" Target="https://eurocapa.com/hp-lecteur-de-bande-externe-lto-6-ultrium-6250-interface-sas-livre-avec-5-cartouches-lto-6.html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3:N187"/>
  <sheetViews>
    <sheetView topLeftCell="A158" workbookViewId="0">
      <selection activeCell="D164" sqref="D164"/>
    </sheetView>
  </sheetViews>
  <sheetFormatPr defaultColWidth="11.42578125" defaultRowHeight="15"/>
  <cols>
    <col min="1" max="1" width="31.28515625" customWidth="1"/>
    <col min="2" max="2" width="52.5703125" customWidth="1"/>
    <col min="3" max="3" width="21.5703125" customWidth="1"/>
    <col min="4" max="4" width="40.5703125" customWidth="1"/>
    <col min="5" max="5" width="88.42578125" customWidth="1"/>
    <col min="6" max="11" width="11.42578125" customWidth="1"/>
    <col min="12" max="12" width="18.42578125" customWidth="1"/>
    <col min="13" max="13" width="21.140625" customWidth="1"/>
    <col min="14" max="14" width="25.85546875" customWidth="1"/>
    <col min="15" max="15" width="11.42578125" customWidth="1"/>
  </cols>
  <sheetData>
    <row r="33" spans="1:14" ht="24">
      <c r="C33" s="1"/>
      <c r="D33" s="1"/>
      <c r="E33" s="1"/>
      <c r="F33" s="1"/>
      <c r="G33" s="2"/>
      <c r="H33" s="2"/>
      <c r="I33" s="2"/>
      <c r="J33" s="2"/>
      <c r="K33" s="2"/>
      <c r="L33" s="1"/>
      <c r="M33" s="2"/>
      <c r="N33" s="1"/>
    </row>
    <row r="34" spans="1:14" ht="24">
      <c r="B34" s="3" t="s">
        <v>0</v>
      </c>
    </row>
    <row r="36" spans="1:14" ht="15.75" thickBot="1"/>
    <row r="37" spans="1:14" ht="16.5" thickTop="1" thickBot="1">
      <c r="A37" s="4" t="s">
        <v>1</v>
      </c>
      <c r="B37" s="5" t="s">
        <v>2</v>
      </c>
      <c r="C37" s="6" t="s">
        <v>3</v>
      </c>
      <c r="D37" s="6"/>
      <c r="E37" s="7" t="s">
        <v>4</v>
      </c>
    </row>
    <row r="38" spans="1:14" ht="15.75" thickTop="1">
      <c r="A38" s="8" t="s">
        <v>5</v>
      </c>
      <c r="B38" s="8" t="s">
        <v>6</v>
      </c>
      <c r="C38" s="9">
        <f xml:space="preserve"> 8/2 +2.5 +6+2.5+1</f>
        <v>16</v>
      </c>
      <c r="D38" s="10"/>
      <c r="E38" s="8" t="s">
        <v>7</v>
      </c>
    </row>
    <row r="39" spans="1:14">
      <c r="A39" s="11"/>
      <c r="B39" s="11"/>
      <c r="C39" s="12"/>
      <c r="D39" s="13"/>
      <c r="E39" s="11" t="s">
        <v>8</v>
      </c>
    </row>
    <row r="40" spans="1:14">
      <c r="A40" s="14" t="s">
        <v>9</v>
      </c>
      <c r="B40" s="14" t="s">
        <v>10</v>
      </c>
      <c r="C40" s="15">
        <f>3+2.5+6+2.5+1</f>
        <v>15</v>
      </c>
      <c r="D40" s="16"/>
      <c r="E40" s="14" t="s">
        <v>11</v>
      </c>
    </row>
    <row r="41" spans="1:14">
      <c r="A41" s="11"/>
      <c r="B41" s="11"/>
      <c r="C41" s="12"/>
      <c r="D41" s="13"/>
      <c r="E41" s="11" t="s">
        <v>12</v>
      </c>
    </row>
    <row r="42" spans="1:14">
      <c r="A42" s="14" t="s">
        <v>13</v>
      </c>
      <c r="B42" s="14" t="s">
        <v>14</v>
      </c>
      <c r="C42" s="15">
        <f>2+2.5+6+2.5+1</f>
        <v>14</v>
      </c>
      <c r="D42" s="16"/>
      <c r="E42" s="14" t="s">
        <v>15</v>
      </c>
    </row>
    <row r="43" spans="1:14">
      <c r="A43" s="11"/>
      <c r="B43" s="11"/>
      <c r="C43" s="12"/>
      <c r="D43" s="13"/>
      <c r="E43" s="11" t="s">
        <v>16</v>
      </c>
    </row>
    <row r="44" spans="1:14">
      <c r="A44" s="17" t="s">
        <v>17</v>
      </c>
      <c r="B44" s="18" t="s">
        <v>18</v>
      </c>
      <c r="C44" s="18">
        <f>2.5+2.5+6+1</f>
        <v>12</v>
      </c>
      <c r="D44" s="19"/>
      <c r="E44" s="17" t="s">
        <v>19</v>
      </c>
    </row>
    <row r="45" spans="1:14">
      <c r="A45" s="20" t="s">
        <v>20</v>
      </c>
      <c r="B45" s="21"/>
      <c r="C45" s="18">
        <f>SUM((C38:C44))</f>
        <v>57</v>
      </c>
      <c r="D45" s="19"/>
      <c r="E45" s="17"/>
    </row>
    <row r="46" spans="1:14" ht="15.75" thickBot="1"/>
    <row r="47" spans="1:14" ht="16.5" thickTop="1" thickBot="1">
      <c r="A47" s="4" t="s">
        <v>21</v>
      </c>
      <c r="B47" s="5" t="s">
        <v>2</v>
      </c>
      <c r="C47" s="6" t="s">
        <v>3</v>
      </c>
      <c r="D47" s="6"/>
      <c r="E47" s="7" t="s">
        <v>4</v>
      </c>
    </row>
    <row r="48" spans="1:14" ht="15.75" thickTop="1">
      <c r="A48" s="8" t="s">
        <v>5</v>
      </c>
      <c r="B48" s="8" t="s">
        <v>22</v>
      </c>
      <c r="C48" s="9">
        <f xml:space="preserve"> 8/2 +2.5 +6+2.5+8+1</f>
        <v>24</v>
      </c>
      <c r="D48" s="10"/>
      <c r="E48" s="8" t="s">
        <v>23</v>
      </c>
    </row>
    <row r="49" spans="1:5">
      <c r="A49" s="11"/>
      <c r="B49" s="11"/>
      <c r="C49" s="12"/>
      <c r="D49" s="13"/>
      <c r="E49" s="11" t="s">
        <v>8</v>
      </c>
    </row>
    <row r="50" spans="1:5">
      <c r="A50" s="14" t="s">
        <v>9</v>
      </c>
      <c r="B50" s="14" t="s">
        <v>24</v>
      </c>
      <c r="C50" s="15">
        <f>3+2.5+6+2.5+8+1</f>
        <v>23</v>
      </c>
      <c r="D50" s="16"/>
      <c r="E50" s="14" t="s">
        <v>25</v>
      </c>
    </row>
    <row r="51" spans="1:5">
      <c r="A51" s="11"/>
      <c r="B51" s="11"/>
      <c r="C51" s="12"/>
      <c r="D51" s="13"/>
      <c r="E51" s="11" t="s">
        <v>26</v>
      </c>
    </row>
    <row r="52" spans="1:5">
      <c r="A52" s="14" t="s">
        <v>13</v>
      </c>
      <c r="B52" s="14" t="s">
        <v>27</v>
      </c>
      <c r="C52" s="15">
        <f>2+2.5+6+2.5+8+1</f>
        <v>22</v>
      </c>
      <c r="D52" s="16"/>
      <c r="E52" s="14" t="s">
        <v>28</v>
      </c>
    </row>
    <row r="53" spans="1:5">
      <c r="A53" s="11"/>
      <c r="B53" s="11"/>
      <c r="C53" s="12"/>
      <c r="D53" s="13"/>
      <c r="E53" s="11" t="s">
        <v>16</v>
      </c>
    </row>
    <row r="54" spans="1:5">
      <c r="A54" s="17" t="s">
        <v>17</v>
      </c>
      <c r="B54" s="18" t="s">
        <v>29</v>
      </c>
      <c r="C54" s="18">
        <f>2.5+2.5+6+8+1</f>
        <v>20</v>
      </c>
      <c r="D54" s="19"/>
      <c r="E54" s="17" t="s">
        <v>30</v>
      </c>
    </row>
    <row r="55" spans="1:5">
      <c r="A55" s="20" t="s">
        <v>20</v>
      </c>
      <c r="B55" s="21"/>
      <c r="C55" s="18">
        <f>SUM((C48:C54))</f>
        <v>89</v>
      </c>
      <c r="D55" s="19"/>
      <c r="E55" s="17"/>
    </row>
    <row r="56" spans="1:5" ht="15.75" thickBot="1"/>
    <row r="57" spans="1:5" ht="16.5" thickTop="1" thickBot="1">
      <c r="A57" s="4" t="s">
        <v>31</v>
      </c>
      <c r="B57" s="5" t="s">
        <v>2</v>
      </c>
      <c r="C57" s="6" t="s">
        <v>3</v>
      </c>
      <c r="D57" s="6"/>
      <c r="E57" s="7" t="s">
        <v>4</v>
      </c>
    </row>
    <row r="58" spans="1:5" ht="15.75" thickTop="1">
      <c r="A58" s="8" t="s">
        <v>5</v>
      </c>
      <c r="B58" s="8" t="s">
        <v>32</v>
      </c>
      <c r="C58" s="8">
        <f xml:space="preserve"> 8/2 +2.5 +6+2.5+8+8+1</f>
        <v>32</v>
      </c>
      <c r="D58" s="8"/>
      <c r="E58" s="8" t="s">
        <v>33</v>
      </c>
    </row>
    <row r="59" spans="1:5">
      <c r="A59" s="11"/>
      <c r="B59" s="11"/>
      <c r="C59" s="12"/>
      <c r="D59" s="13"/>
      <c r="E59" s="11" t="s">
        <v>34</v>
      </c>
    </row>
    <row r="60" spans="1:5">
      <c r="A60" s="14" t="s">
        <v>9</v>
      </c>
      <c r="B60" s="14" t="s">
        <v>35</v>
      </c>
      <c r="C60" s="15">
        <f>3+2.5+6+2.5+8+8+1</f>
        <v>31</v>
      </c>
      <c r="D60" s="16"/>
      <c r="E60" s="14" t="s">
        <v>36</v>
      </c>
    </row>
    <row r="61" spans="1:5">
      <c r="A61" s="11"/>
      <c r="B61" s="11"/>
      <c r="C61" s="12"/>
      <c r="D61" s="13"/>
      <c r="E61" s="11" t="s">
        <v>26</v>
      </c>
    </row>
    <row r="62" spans="1:5">
      <c r="A62" s="14" t="s">
        <v>13</v>
      </c>
      <c r="B62" s="14" t="s">
        <v>37</v>
      </c>
      <c r="C62" s="15">
        <f>2+2.5+6+2.5+8+8+1</f>
        <v>30</v>
      </c>
      <c r="D62" s="16"/>
      <c r="E62" s="14" t="s">
        <v>38</v>
      </c>
    </row>
    <row r="63" spans="1:5">
      <c r="A63" s="11"/>
      <c r="B63" s="11"/>
      <c r="C63" s="12"/>
      <c r="D63" s="13"/>
      <c r="E63" s="11" t="s">
        <v>16</v>
      </c>
    </row>
    <row r="64" spans="1:5">
      <c r="A64" s="17" t="s">
        <v>17</v>
      </c>
      <c r="B64" s="18" t="s">
        <v>39</v>
      </c>
      <c r="C64" s="18">
        <f>2.5+2.5+6+8+1+8+1</f>
        <v>29</v>
      </c>
      <c r="D64" s="19"/>
      <c r="E64" s="17" t="s">
        <v>40</v>
      </c>
    </row>
    <row r="65" spans="1:5">
      <c r="A65" s="20" t="s">
        <v>20</v>
      </c>
      <c r="B65" s="21"/>
      <c r="C65" s="18">
        <f>SUM((C58:C64))</f>
        <v>122</v>
      </c>
      <c r="D65" s="19"/>
      <c r="E65" s="17"/>
    </row>
    <row r="66" spans="1:5" ht="15.75" thickBot="1"/>
    <row r="67" spans="1:5" ht="16.5" thickTop="1" thickBot="1">
      <c r="A67" s="4" t="s">
        <v>41</v>
      </c>
      <c r="B67" s="5" t="s">
        <v>2</v>
      </c>
      <c r="C67" s="6" t="s">
        <v>3</v>
      </c>
      <c r="D67" s="6"/>
      <c r="E67" s="7" t="s">
        <v>4</v>
      </c>
    </row>
    <row r="68" spans="1:5" ht="15.75" thickTop="1">
      <c r="A68" s="8" t="s">
        <v>5</v>
      </c>
      <c r="B68" s="8" t="s">
        <v>6</v>
      </c>
      <c r="C68" s="9">
        <f xml:space="preserve"> 8/2 +2.5 +6+2.5+1</f>
        <v>16</v>
      </c>
      <c r="D68" s="10"/>
      <c r="E68" s="8" t="s">
        <v>7</v>
      </c>
    </row>
    <row r="69" spans="1:5">
      <c r="A69" s="11"/>
      <c r="B69" s="11"/>
      <c r="C69" s="12"/>
      <c r="D69" s="13"/>
      <c r="E69" s="11" t="s">
        <v>8</v>
      </c>
    </row>
    <row r="70" spans="1:5">
      <c r="A70" s="14" t="s">
        <v>9</v>
      </c>
      <c r="B70" s="14" t="s">
        <v>10</v>
      </c>
      <c r="C70" s="15">
        <f>3+2.5+6+2.5+1</f>
        <v>15</v>
      </c>
      <c r="D70" s="16"/>
      <c r="E70" s="14" t="s">
        <v>11</v>
      </c>
    </row>
    <row r="71" spans="1:5">
      <c r="A71" s="11"/>
      <c r="B71" s="11"/>
      <c r="C71" s="12"/>
      <c r="D71" s="13"/>
      <c r="E71" s="11" t="s">
        <v>12</v>
      </c>
    </row>
    <row r="72" spans="1:5">
      <c r="A72" s="14" t="s">
        <v>13</v>
      </c>
      <c r="B72" s="14" t="s">
        <v>14</v>
      </c>
      <c r="C72" s="15">
        <f>2+2.5+6+2.5+1</f>
        <v>14</v>
      </c>
      <c r="D72" s="16"/>
      <c r="E72" s="14" t="s">
        <v>15</v>
      </c>
    </row>
    <row r="73" spans="1:5">
      <c r="A73" s="11"/>
      <c r="B73" s="11"/>
      <c r="C73" s="12"/>
      <c r="D73" s="13"/>
      <c r="E73" s="11" t="s">
        <v>16</v>
      </c>
    </row>
    <row r="74" spans="1:5">
      <c r="A74" s="17" t="s">
        <v>17</v>
      </c>
      <c r="B74" s="18" t="s">
        <v>18</v>
      </c>
      <c r="C74" s="18">
        <f>2.5+2.5+6+1</f>
        <v>12</v>
      </c>
      <c r="D74" s="19"/>
      <c r="E74" s="17" t="s">
        <v>19</v>
      </c>
    </row>
    <row r="75" spans="1:5">
      <c r="A75" s="20" t="s">
        <v>20</v>
      </c>
      <c r="B75" s="21"/>
      <c r="C75" s="18">
        <f>SUM((C68:C74))</f>
        <v>57</v>
      </c>
      <c r="D75" s="19"/>
      <c r="E75" s="17"/>
    </row>
    <row r="76" spans="1:5" ht="15.75" thickBot="1"/>
    <row r="77" spans="1:5" ht="16.5" thickTop="1" thickBot="1">
      <c r="A77" s="4" t="s">
        <v>42</v>
      </c>
      <c r="B77" s="5" t="s">
        <v>2</v>
      </c>
      <c r="C77" s="6" t="s">
        <v>3</v>
      </c>
      <c r="D77" s="6"/>
      <c r="E77" s="7" t="s">
        <v>4</v>
      </c>
    </row>
    <row r="78" spans="1:5" ht="15.75" thickTop="1">
      <c r="A78" s="8" t="s">
        <v>5</v>
      </c>
      <c r="B78" s="8" t="s">
        <v>43</v>
      </c>
      <c r="C78" s="9">
        <f xml:space="preserve"> 8/2 +2.5 +6+2.5+8+1</f>
        <v>24</v>
      </c>
      <c r="D78" s="10"/>
      <c r="E78" s="8" t="s">
        <v>44</v>
      </c>
    </row>
    <row r="79" spans="1:5">
      <c r="A79" s="11"/>
      <c r="B79" s="11"/>
      <c r="C79" s="12"/>
      <c r="D79" s="13"/>
      <c r="E79" s="11" t="s">
        <v>8</v>
      </c>
    </row>
    <row r="80" spans="1:5">
      <c r="A80" s="14" t="s">
        <v>9</v>
      </c>
      <c r="B80" s="14" t="s">
        <v>24</v>
      </c>
      <c r="C80" s="15">
        <f>3+2.5+6+2.5+8+1</f>
        <v>23</v>
      </c>
      <c r="D80" s="16"/>
      <c r="E80" s="14" t="s">
        <v>45</v>
      </c>
    </row>
    <row r="81" spans="1:5">
      <c r="A81" s="11"/>
      <c r="B81" s="11"/>
      <c r="C81" s="12"/>
      <c r="D81" s="13"/>
      <c r="E81" s="11" t="s">
        <v>26</v>
      </c>
    </row>
    <row r="82" spans="1:5">
      <c r="A82" s="14" t="s">
        <v>13</v>
      </c>
      <c r="B82" s="14" t="s">
        <v>27</v>
      </c>
      <c r="C82" s="15">
        <f>2+2.5+6+2.5+8+1</f>
        <v>22</v>
      </c>
      <c r="D82" s="16"/>
      <c r="E82" s="14" t="s">
        <v>46</v>
      </c>
    </row>
    <row r="83" spans="1:5">
      <c r="A83" s="11"/>
      <c r="B83" s="11"/>
      <c r="C83" s="12"/>
      <c r="D83" s="13"/>
      <c r="E83" s="11" t="s">
        <v>16</v>
      </c>
    </row>
    <row r="84" spans="1:5">
      <c r="A84" s="17" t="s">
        <v>17</v>
      </c>
      <c r="B84" s="18" t="s">
        <v>29</v>
      </c>
      <c r="C84" s="18">
        <f>2.5+2.5+6+8+1+1</f>
        <v>21</v>
      </c>
      <c r="D84" s="19"/>
      <c r="E84" s="17" t="s">
        <v>47</v>
      </c>
    </row>
    <row r="85" spans="1:5">
      <c r="A85" s="20" t="s">
        <v>20</v>
      </c>
      <c r="B85" s="21"/>
      <c r="C85" s="18">
        <f>SUM((C78:C84))</f>
        <v>90</v>
      </c>
      <c r="D85" s="19"/>
      <c r="E85" s="17"/>
    </row>
    <row r="86" spans="1:5" ht="15.75" thickBot="1"/>
    <row r="87" spans="1:5" ht="16.5" thickTop="1" thickBot="1">
      <c r="A87" s="4" t="s">
        <v>48</v>
      </c>
      <c r="B87" s="5" t="s">
        <v>2</v>
      </c>
      <c r="C87" s="6" t="s">
        <v>3</v>
      </c>
      <c r="D87" s="6"/>
      <c r="E87" s="7" t="s">
        <v>4</v>
      </c>
    </row>
    <row r="88" spans="1:5" ht="15.75" thickTop="1">
      <c r="A88" s="8" t="s">
        <v>5</v>
      </c>
      <c r="B88" s="8" t="s">
        <v>49</v>
      </c>
      <c r="C88" s="9">
        <f xml:space="preserve"> 8/2 +2.5 +6+2.5+16+2+4+1</f>
        <v>38</v>
      </c>
      <c r="D88" s="10"/>
      <c r="E88" s="8" t="s">
        <v>50</v>
      </c>
    </row>
    <row r="89" spans="1:5">
      <c r="A89" s="11"/>
      <c r="B89" s="11"/>
      <c r="C89" s="12"/>
      <c r="D89" s="13"/>
      <c r="E89" s="11" t="s">
        <v>51</v>
      </c>
    </row>
    <row r="90" spans="1:5">
      <c r="A90" s="14" t="s">
        <v>9</v>
      </c>
      <c r="B90" s="14" t="s">
        <v>52</v>
      </c>
      <c r="C90" s="15">
        <f>2.5+6+2.5+16+2+4+1</f>
        <v>34</v>
      </c>
      <c r="D90" s="16"/>
      <c r="E90" s="14" t="s">
        <v>53</v>
      </c>
    </row>
    <row r="91" spans="1:5">
      <c r="A91" s="11"/>
      <c r="B91" s="11"/>
      <c r="C91" s="12"/>
      <c r="D91" s="13"/>
      <c r="E91" s="11" t="s">
        <v>54</v>
      </c>
    </row>
    <row r="92" spans="1:5">
      <c r="A92" s="14" t="s">
        <v>13</v>
      </c>
      <c r="B92" s="14" t="s">
        <v>55</v>
      </c>
      <c r="C92" s="15">
        <f>2+2.5+6+2.5+16+2+4+1</f>
        <v>36</v>
      </c>
      <c r="D92" s="16"/>
      <c r="E92" s="14" t="s">
        <v>56</v>
      </c>
    </row>
    <row r="93" spans="1:5">
      <c r="A93" s="11"/>
      <c r="B93" s="11"/>
      <c r="C93" s="12"/>
      <c r="D93" s="13"/>
      <c r="E93" s="11" t="s">
        <v>57</v>
      </c>
    </row>
    <row r="94" spans="1:5">
      <c r="A94" s="17" t="s">
        <v>17</v>
      </c>
      <c r="B94" s="18" t="s">
        <v>58</v>
      </c>
      <c r="C94" s="18">
        <f>2.5+2.5+6+16+4+2+1+1</f>
        <v>35</v>
      </c>
      <c r="D94" s="19"/>
      <c r="E94" s="17" t="s">
        <v>59</v>
      </c>
    </row>
    <row r="95" spans="1:5">
      <c r="A95" s="20" t="s">
        <v>20</v>
      </c>
      <c r="B95" s="21"/>
      <c r="C95" s="18">
        <f>SUM((C88:C94))</f>
        <v>143</v>
      </c>
      <c r="D95" s="19"/>
      <c r="E95" s="17"/>
    </row>
    <row r="96" spans="1:5" ht="15.75" thickBot="1"/>
    <row r="97" spans="1:5" ht="16.5" thickTop="1" thickBot="1">
      <c r="A97" s="4" t="s">
        <v>60</v>
      </c>
      <c r="B97" s="5" t="s">
        <v>2</v>
      </c>
      <c r="C97" s="6" t="s">
        <v>3</v>
      </c>
      <c r="D97" s="6"/>
      <c r="E97" s="7" t="s">
        <v>4</v>
      </c>
    </row>
    <row r="98" spans="1:5" ht="15.75" thickTop="1">
      <c r="A98" s="8" t="s">
        <v>5</v>
      </c>
      <c r="B98" s="8" t="s">
        <v>61</v>
      </c>
      <c r="C98" s="9">
        <f xml:space="preserve"> 8/2 +2.5 +6+2.5+8+2+4+1</f>
        <v>30</v>
      </c>
      <c r="D98" s="10"/>
      <c r="E98" s="8" t="s">
        <v>62</v>
      </c>
    </row>
    <row r="99" spans="1:5">
      <c r="A99" s="11"/>
      <c r="B99" s="11"/>
      <c r="C99" s="12"/>
      <c r="D99" s="13"/>
      <c r="E99" s="11" t="s">
        <v>8</v>
      </c>
    </row>
    <row r="100" spans="1:5">
      <c r="A100" s="14" t="s">
        <v>9</v>
      </c>
      <c r="B100" s="14" t="s">
        <v>63</v>
      </c>
      <c r="C100" s="15">
        <f>2.5+6+2.5+8+2+4+1</f>
        <v>26</v>
      </c>
      <c r="D100" s="16"/>
      <c r="E100" s="14" t="s">
        <v>64</v>
      </c>
    </row>
    <row r="101" spans="1:5">
      <c r="A101" s="11"/>
      <c r="B101" s="11"/>
      <c r="C101" s="12"/>
      <c r="D101" s="13"/>
      <c r="E101" s="11" t="s">
        <v>26</v>
      </c>
    </row>
    <row r="102" spans="1:5">
      <c r="A102" s="14" t="s">
        <v>13</v>
      </c>
      <c r="B102" s="14" t="s">
        <v>65</v>
      </c>
      <c r="C102" s="15">
        <f>2+2.5+6+2.5+8+2+4+1</f>
        <v>28</v>
      </c>
      <c r="D102" s="16"/>
      <c r="E102" s="14" t="s">
        <v>66</v>
      </c>
    </row>
    <row r="103" spans="1:5">
      <c r="A103" s="11"/>
      <c r="B103" s="11"/>
      <c r="C103" s="12"/>
      <c r="D103" s="13"/>
      <c r="E103" s="11" t="s">
        <v>16</v>
      </c>
    </row>
    <row r="104" spans="1:5">
      <c r="A104" s="17" t="s">
        <v>17</v>
      </c>
      <c r="B104" s="18" t="s">
        <v>67</v>
      </c>
      <c r="C104" s="18">
        <f>2.5+2.5+6+8+4+2+1+1</f>
        <v>27</v>
      </c>
      <c r="D104" s="19"/>
      <c r="E104" s="17" t="s">
        <v>68</v>
      </c>
    </row>
    <row r="105" spans="1:5">
      <c r="A105" s="20" t="s">
        <v>20</v>
      </c>
      <c r="B105" s="21"/>
      <c r="C105" s="18">
        <f>SUM((C98:C104))</f>
        <v>111</v>
      </c>
      <c r="D105" s="19"/>
      <c r="E105" s="17"/>
    </row>
    <row r="106" spans="1:5" ht="15.75" thickBot="1"/>
    <row r="107" spans="1:5" ht="16.5" thickTop="1" thickBot="1">
      <c r="A107" s="4" t="s">
        <v>69</v>
      </c>
      <c r="B107" s="5" t="s">
        <v>2</v>
      </c>
      <c r="C107" s="6" t="s">
        <v>3</v>
      </c>
      <c r="D107" s="6"/>
      <c r="E107" s="7" t="s">
        <v>4</v>
      </c>
    </row>
    <row r="108" spans="1:5" ht="15.75" thickTop="1">
      <c r="A108" s="8" t="s">
        <v>5</v>
      </c>
      <c r="B108" s="8" t="s">
        <v>70</v>
      </c>
      <c r="C108" s="9">
        <f xml:space="preserve"> 8/2 +2.5 +6+2.5+2+4+1</f>
        <v>22</v>
      </c>
      <c r="D108" s="10"/>
      <c r="E108" s="8" t="s">
        <v>71</v>
      </c>
    </row>
    <row r="109" spans="1:5">
      <c r="A109" s="11"/>
      <c r="B109" s="11"/>
      <c r="C109" s="12"/>
      <c r="D109" s="13"/>
      <c r="E109" s="11" t="s">
        <v>8</v>
      </c>
    </row>
    <row r="110" spans="1:5">
      <c r="A110" s="14" t="s">
        <v>9</v>
      </c>
      <c r="B110" s="14" t="s">
        <v>72</v>
      </c>
      <c r="C110" s="15">
        <f>2.5+6+2.5+2+4+3+1</f>
        <v>21</v>
      </c>
      <c r="D110" s="16"/>
      <c r="E110" s="14" t="s">
        <v>73</v>
      </c>
    </row>
    <row r="111" spans="1:5">
      <c r="A111" s="11"/>
      <c r="B111" s="11"/>
      <c r="C111" s="12"/>
      <c r="D111" s="13"/>
      <c r="E111" s="11" t="s">
        <v>26</v>
      </c>
    </row>
    <row r="112" spans="1:5">
      <c r="A112" s="14" t="s">
        <v>13</v>
      </c>
      <c r="B112" s="14" t="s">
        <v>74</v>
      </c>
      <c r="C112" s="15">
        <f>2+2.5+6+2.5+2+4+1</f>
        <v>20</v>
      </c>
      <c r="D112" s="16"/>
      <c r="E112" s="14" t="s">
        <v>75</v>
      </c>
    </row>
    <row r="113" spans="1:5">
      <c r="A113" s="11"/>
      <c r="B113" s="11"/>
      <c r="C113" s="12"/>
      <c r="D113" s="13"/>
      <c r="E113" s="11" t="s">
        <v>76</v>
      </c>
    </row>
    <row r="114" spans="1:5">
      <c r="A114" s="17" t="s">
        <v>17</v>
      </c>
      <c r="B114" s="18" t="s">
        <v>77</v>
      </c>
      <c r="C114" s="18">
        <f>2.5+2.5+6+4+2+1+1</f>
        <v>19</v>
      </c>
      <c r="D114" s="19"/>
      <c r="E114" s="17" t="s">
        <v>78</v>
      </c>
    </row>
    <row r="115" spans="1:5">
      <c r="A115" s="20" t="s">
        <v>20</v>
      </c>
      <c r="B115" s="21"/>
      <c r="C115" s="18">
        <f>SUM((C108:C114))</f>
        <v>82</v>
      </c>
      <c r="D115" s="19"/>
      <c r="E115" s="17"/>
    </row>
    <row r="116" spans="1:5" ht="15.75" thickBot="1"/>
    <row r="117" spans="1:5" ht="16.5" thickTop="1" thickBot="1">
      <c r="A117" s="4" t="s">
        <v>79</v>
      </c>
      <c r="B117" s="5" t="s">
        <v>2</v>
      </c>
      <c r="C117" s="6" t="s">
        <v>3</v>
      </c>
      <c r="D117" s="6"/>
      <c r="E117" s="7" t="s">
        <v>4</v>
      </c>
    </row>
    <row r="118" spans="1:5" ht="15.75" thickTop="1">
      <c r="A118" s="8" t="s">
        <v>5</v>
      </c>
      <c r="B118" s="8" t="s">
        <v>80</v>
      </c>
      <c r="C118" s="9">
        <f xml:space="preserve"> 8/2 +2.5 +6+2.5+2+4+1</f>
        <v>22</v>
      </c>
      <c r="D118" s="10"/>
      <c r="E118" s="8" t="s">
        <v>7</v>
      </c>
    </row>
    <row r="119" spans="1:5">
      <c r="A119" s="11"/>
      <c r="B119" s="11"/>
      <c r="C119" s="12"/>
      <c r="D119" s="13"/>
      <c r="E119" s="11" t="s">
        <v>8</v>
      </c>
    </row>
    <row r="120" spans="1:5">
      <c r="A120" s="14" t="s">
        <v>9</v>
      </c>
      <c r="B120" s="14" t="s">
        <v>81</v>
      </c>
      <c r="C120" s="15">
        <f>2.5+6+2.5+2+4+1</f>
        <v>18</v>
      </c>
      <c r="D120" s="16"/>
      <c r="E120" s="14" t="s">
        <v>82</v>
      </c>
    </row>
    <row r="121" spans="1:5">
      <c r="A121" s="11"/>
      <c r="B121" s="11"/>
      <c r="C121" s="12"/>
      <c r="D121" s="13"/>
      <c r="E121" s="11" t="s">
        <v>26</v>
      </c>
    </row>
    <row r="122" spans="1:5">
      <c r="A122" s="14" t="s">
        <v>13</v>
      </c>
      <c r="B122" s="14" t="s">
        <v>83</v>
      </c>
      <c r="C122" s="15">
        <f>2+2.5+6+2.5+2+4+1</f>
        <v>20</v>
      </c>
      <c r="D122" s="16"/>
      <c r="E122" s="14" t="s">
        <v>84</v>
      </c>
    </row>
    <row r="123" spans="1:5">
      <c r="A123" s="11"/>
      <c r="B123" s="11"/>
      <c r="C123" s="12"/>
      <c r="D123" s="13"/>
      <c r="E123" s="11" t="s">
        <v>85</v>
      </c>
    </row>
    <row r="124" spans="1:5">
      <c r="A124" s="17" t="s">
        <v>17</v>
      </c>
      <c r="B124" s="18" t="s">
        <v>86</v>
      </c>
      <c r="C124" s="18">
        <f>2.5+2.5+6+4+2+1+1</f>
        <v>19</v>
      </c>
      <c r="D124" s="19"/>
      <c r="E124" s="17" t="s">
        <v>87</v>
      </c>
    </row>
    <row r="125" spans="1:5">
      <c r="A125" s="20" t="s">
        <v>20</v>
      </c>
      <c r="B125" s="21"/>
      <c r="C125" s="18">
        <f>SUM((C118:C124))</f>
        <v>79</v>
      </c>
      <c r="D125" s="19"/>
      <c r="E125" s="17"/>
    </row>
    <row r="126" spans="1:5" ht="15.75" thickBot="1"/>
    <row r="127" spans="1:5" ht="16.5" thickTop="1" thickBot="1">
      <c r="A127" s="4" t="s">
        <v>88</v>
      </c>
      <c r="B127" s="5" t="s">
        <v>2</v>
      </c>
      <c r="C127" s="6" t="s">
        <v>3</v>
      </c>
      <c r="D127" s="6"/>
      <c r="E127" s="7" t="s">
        <v>4</v>
      </c>
    </row>
    <row r="128" spans="1:5" ht="15.75" thickTop="1">
      <c r="A128" s="8" t="s">
        <v>5</v>
      </c>
      <c r="B128" s="8" t="s">
        <v>89</v>
      </c>
      <c r="C128" s="9">
        <f xml:space="preserve"> 8/2 +2.5 +6+2.5+10+2+4+1</f>
        <v>32</v>
      </c>
      <c r="D128" s="10"/>
      <c r="E128" s="8" t="s">
        <v>90</v>
      </c>
    </row>
    <row r="129" spans="1:5">
      <c r="A129" s="11"/>
      <c r="B129" s="11"/>
      <c r="C129" s="12"/>
      <c r="D129" s="13"/>
      <c r="E129" s="11" t="s">
        <v>8</v>
      </c>
    </row>
    <row r="130" spans="1:5">
      <c r="A130" s="14" t="s">
        <v>9</v>
      </c>
      <c r="B130" s="14" t="s">
        <v>91</v>
      </c>
      <c r="C130" s="15">
        <f>2.5+6+2.5+10+2+4+1</f>
        <v>28</v>
      </c>
      <c r="D130" s="16"/>
      <c r="E130" s="14" t="s">
        <v>92</v>
      </c>
    </row>
    <row r="131" spans="1:5">
      <c r="A131" s="11"/>
      <c r="B131" s="11"/>
      <c r="C131" s="12"/>
      <c r="D131" s="13"/>
      <c r="E131" s="11" t="s">
        <v>26</v>
      </c>
    </row>
    <row r="132" spans="1:5">
      <c r="A132" s="14" t="s">
        <v>13</v>
      </c>
      <c r="B132" s="14" t="s">
        <v>93</v>
      </c>
      <c r="C132" s="15">
        <f>2+2.5+6+2.5+10+2+4+1</f>
        <v>30</v>
      </c>
      <c r="D132" s="16"/>
      <c r="E132" s="14" t="s">
        <v>94</v>
      </c>
    </row>
    <row r="133" spans="1:5">
      <c r="A133" s="11"/>
      <c r="B133" s="11"/>
      <c r="C133" s="12"/>
      <c r="D133" s="13"/>
      <c r="E133" s="11" t="s">
        <v>16</v>
      </c>
    </row>
    <row r="134" spans="1:5">
      <c r="A134" s="17" t="s">
        <v>17</v>
      </c>
      <c r="B134" s="18" t="s">
        <v>95</v>
      </c>
      <c r="C134" s="18">
        <f>2.5+2.5+6+10+4+2+1+1</f>
        <v>29</v>
      </c>
      <c r="D134" s="19"/>
      <c r="E134" s="17" t="s">
        <v>96</v>
      </c>
    </row>
    <row r="135" spans="1:5">
      <c r="A135" s="20" t="s">
        <v>20</v>
      </c>
      <c r="B135" s="21"/>
      <c r="C135" s="18">
        <f>SUM((C128:C134))</f>
        <v>119</v>
      </c>
      <c r="D135" s="19"/>
      <c r="E135" s="17"/>
    </row>
    <row r="136" spans="1:5" ht="15.75" thickBot="1"/>
    <row r="137" spans="1:5" ht="16.5" thickTop="1" thickBot="1">
      <c r="A137" s="4" t="s">
        <v>97</v>
      </c>
      <c r="B137" s="5" t="s">
        <v>2</v>
      </c>
      <c r="C137" s="6" t="s">
        <v>3</v>
      </c>
      <c r="D137" s="6"/>
      <c r="E137" s="7" t="s">
        <v>4</v>
      </c>
    </row>
    <row r="138" spans="1:5" ht="15.75" thickTop="1">
      <c r="A138" s="8" t="s">
        <v>5</v>
      </c>
      <c r="B138" s="8" t="s">
        <v>98</v>
      </c>
      <c r="C138" s="9">
        <f xml:space="preserve"> 2.5 +2.5+2+4+1</f>
        <v>12</v>
      </c>
      <c r="D138" s="10"/>
      <c r="E138" s="8" t="s">
        <v>99</v>
      </c>
    </row>
    <row r="139" spans="1:5">
      <c r="A139" s="11"/>
      <c r="B139" s="11"/>
      <c r="C139" s="12"/>
      <c r="D139" s="13"/>
      <c r="E139" s="11" t="s">
        <v>8</v>
      </c>
    </row>
    <row r="140" spans="1:5">
      <c r="A140" s="14" t="s">
        <v>9</v>
      </c>
      <c r="B140" s="14" t="s">
        <v>100</v>
      </c>
      <c r="C140" s="15">
        <f>2.5+2.5+2+4+1</f>
        <v>12</v>
      </c>
      <c r="D140" s="16"/>
      <c r="E140" s="14" t="s">
        <v>101</v>
      </c>
    </row>
    <row r="141" spans="1:5">
      <c r="A141" s="11"/>
      <c r="B141" s="11"/>
      <c r="C141" s="12"/>
      <c r="D141" s="13"/>
      <c r="E141" s="11" t="s">
        <v>26</v>
      </c>
    </row>
    <row r="142" spans="1:5">
      <c r="A142" s="14" t="s">
        <v>13</v>
      </c>
      <c r="B142" s="14" t="s">
        <v>102</v>
      </c>
      <c r="C142" s="15">
        <f>2.5+2.5+2+4+1</f>
        <v>12</v>
      </c>
      <c r="D142" s="16"/>
      <c r="E142" s="14" t="s">
        <v>94</v>
      </c>
    </row>
    <row r="143" spans="1:5">
      <c r="A143" s="11"/>
      <c r="B143" s="11"/>
      <c r="C143" s="12"/>
      <c r="D143" s="13"/>
      <c r="E143" s="11" t="s">
        <v>16</v>
      </c>
    </row>
    <row r="144" spans="1:5">
      <c r="A144" s="17" t="s">
        <v>17</v>
      </c>
      <c r="B144" s="18" t="s">
        <v>103</v>
      </c>
      <c r="C144" s="18">
        <f>2.5+2.5+2+4+1</f>
        <v>12</v>
      </c>
      <c r="D144" s="19"/>
      <c r="E144" s="17" t="s">
        <v>96</v>
      </c>
    </row>
    <row r="145" spans="1:5">
      <c r="A145" s="20" t="s">
        <v>20</v>
      </c>
      <c r="B145" s="21"/>
      <c r="C145" s="18">
        <f>SUM((C138:C144))</f>
        <v>48</v>
      </c>
      <c r="D145" s="19"/>
      <c r="E145" s="17"/>
    </row>
    <row r="146" spans="1:5" ht="15.75" thickBot="1"/>
    <row r="147" spans="1:5" ht="16.5" thickTop="1" thickBot="1">
      <c r="A147" s="4" t="s">
        <v>104</v>
      </c>
      <c r="B147" s="5" t="s">
        <v>2</v>
      </c>
      <c r="C147" s="6" t="s">
        <v>3</v>
      </c>
      <c r="D147" s="6"/>
      <c r="E147" s="7" t="s">
        <v>4</v>
      </c>
    </row>
    <row r="148" spans="1:5" ht="15.75" thickTop="1">
      <c r="A148" s="8" t="s">
        <v>5</v>
      </c>
      <c r="B148" s="8" t="s">
        <v>105</v>
      </c>
      <c r="C148" s="9">
        <f xml:space="preserve"> 8/2 +2.5 +6+2.5+8+8+1</f>
        <v>32</v>
      </c>
      <c r="D148" s="10"/>
      <c r="E148" s="8" t="s">
        <v>106</v>
      </c>
    </row>
    <row r="149" spans="1:5">
      <c r="A149" s="11"/>
      <c r="B149" s="11"/>
      <c r="C149" s="12"/>
      <c r="D149" s="13"/>
      <c r="E149" s="11" t="s">
        <v>107</v>
      </c>
    </row>
    <row r="150" spans="1:5">
      <c r="A150" s="14" t="s">
        <v>9</v>
      </c>
      <c r="B150" s="14" t="s">
        <v>35</v>
      </c>
      <c r="C150" s="15">
        <f>3+2.5+6+2.5+8+8+1</f>
        <v>31</v>
      </c>
      <c r="D150" s="16"/>
      <c r="E150" s="14" t="s">
        <v>108</v>
      </c>
    </row>
    <row r="151" spans="1:5">
      <c r="A151" s="11"/>
      <c r="B151" s="11"/>
      <c r="C151" s="12"/>
      <c r="D151" s="13"/>
      <c r="E151" s="11" t="s">
        <v>26</v>
      </c>
    </row>
    <row r="152" spans="1:5">
      <c r="A152" s="14" t="s">
        <v>13</v>
      </c>
      <c r="B152" s="14" t="s">
        <v>37</v>
      </c>
      <c r="C152" s="15">
        <f>2+2.5+6+2.5+8+8+1</f>
        <v>30</v>
      </c>
      <c r="D152" s="16"/>
      <c r="E152" s="14" t="s">
        <v>109</v>
      </c>
    </row>
    <row r="153" spans="1:5">
      <c r="A153" s="11"/>
      <c r="B153" s="11"/>
      <c r="C153" s="12"/>
      <c r="D153" s="13"/>
      <c r="E153" s="11" t="s">
        <v>16</v>
      </c>
    </row>
    <row r="154" spans="1:5">
      <c r="A154" s="17" t="s">
        <v>17</v>
      </c>
      <c r="B154" s="18" t="s">
        <v>110</v>
      </c>
      <c r="C154" s="18">
        <f>2+2.5+6+8+1+8+1</f>
        <v>28.5</v>
      </c>
      <c r="D154" s="19"/>
      <c r="E154" s="17" t="s">
        <v>111</v>
      </c>
    </row>
    <row r="155" spans="1:5">
      <c r="A155" s="20" t="s">
        <v>20</v>
      </c>
      <c r="B155" s="21"/>
      <c r="C155" s="18">
        <f>SUM((C148:C154))</f>
        <v>121.5</v>
      </c>
      <c r="D155" s="19"/>
      <c r="E155" s="17"/>
    </row>
    <row r="156" spans="1:5" ht="15.75" thickBot="1"/>
    <row r="157" spans="1:5" ht="16.5" thickTop="1" thickBot="1">
      <c r="A157" s="4" t="s">
        <v>112</v>
      </c>
      <c r="B157" s="5" t="s">
        <v>113</v>
      </c>
      <c r="C157" s="6" t="s">
        <v>3</v>
      </c>
      <c r="D157" s="6" t="s">
        <v>114</v>
      </c>
      <c r="E157" s="7" t="s">
        <v>115</v>
      </c>
    </row>
    <row r="158" spans="1:5">
      <c r="A158" s="8" t="s">
        <v>116</v>
      </c>
      <c r="B158" s="8">
        <f>32*5.14</f>
        <v>164.48</v>
      </c>
      <c r="C158" s="9">
        <f>32*0.5</f>
        <v>16</v>
      </c>
      <c r="D158" s="10" t="s">
        <v>117</v>
      </c>
      <c r="E158" s="76" t="s">
        <v>118</v>
      </c>
    </row>
    <row r="159" spans="1:5">
      <c r="A159" s="11"/>
      <c r="B159" s="11"/>
      <c r="C159" s="12"/>
      <c r="D159" s="13"/>
      <c r="E159" s="11"/>
    </row>
    <row r="160" spans="1:5">
      <c r="A160" s="14"/>
      <c r="B160" s="14"/>
      <c r="C160" s="15"/>
      <c r="D160" s="16"/>
      <c r="E160" s="14"/>
    </row>
    <row r="161" spans="1:5">
      <c r="A161" s="11"/>
      <c r="B161" s="11"/>
      <c r="C161" s="12"/>
      <c r="D161" s="13"/>
      <c r="E161" s="11"/>
    </row>
    <row r="163" spans="1:5" ht="31.5">
      <c r="A163" s="22" t="s">
        <v>119</v>
      </c>
      <c r="B163" s="22"/>
    </row>
    <row r="164" spans="1:5" ht="15.75" thickBot="1"/>
    <row r="165" spans="1:5">
      <c r="A165" s="4" t="s">
        <v>120</v>
      </c>
      <c r="B165" s="7" t="s">
        <v>4</v>
      </c>
    </row>
    <row r="166" spans="1:5">
      <c r="A166" s="81">
        <f>3*SUM((C155+C145+C135+C125+C115+C105+C95+C85+C75+C65+C55+C45+C158))</f>
        <v>3403.5</v>
      </c>
      <c r="B166" s="8" t="s">
        <v>121</v>
      </c>
    </row>
    <row r="167" spans="1:5">
      <c r="A167" s="11"/>
      <c r="B167" s="12" t="s">
        <v>122</v>
      </c>
    </row>
    <row r="168" spans="1:5">
      <c r="A168" t="s">
        <v>123</v>
      </c>
      <c r="B168" s="23"/>
    </row>
    <row r="169" spans="1:5">
      <c r="A169" s="25" t="s">
        <v>124</v>
      </c>
      <c r="B169" s="26">
        <f>921.91</f>
        <v>921.91</v>
      </c>
      <c r="C169" s="15" t="s">
        <v>125</v>
      </c>
      <c r="D169" s="24"/>
      <c r="E169" s="16"/>
    </row>
    <row r="170" spans="1:5">
      <c r="A170" s="17" t="s">
        <v>126</v>
      </c>
      <c r="B170" s="29">
        <f>3.5*B169</f>
        <v>3226.6849999999999</v>
      </c>
      <c r="C170" s="27" t="s">
        <v>127</v>
      </c>
      <c r="D170" s="28"/>
      <c r="E170" s="28"/>
    </row>
    <row r="171" spans="1:5">
      <c r="A171" s="31" t="s">
        <v>20</v>
      </c>
      <c r="B171" s="32">
        <f>B170</f>
        <v>3226.6849999999999</v>
      </c>
      <c r="E171" s="30"/>
    </row>
    <row r="172" spans="1:5">
      <c r="C172" s="74" t="s">
        <v>128</v>
      </c>
      <c r="D172" s="34"/>
      <c r="E172" s="13"/>
    </row>
    <row r="175" spans="1:5" ht="28.5">
      <c r="A175" s="35" t="s">
        <v>129</v>
      </c>
      <c r="B175" s="35"/>
    </row>
    <row r="177" spans="1:5">
      <c r="A177" s="37" t="s">
        <v>130</v>
      </c>
      <c r="B177" s="37" t="s">
        <v>131</v>
      </c>
      <c r="C177" s="36" t="s">
        <v>132</v>
      </c>
    </row>
    <row r="178" spans="1:5">
      <c r="A178" s="11"/>
      <c r="B178" s="11" t="s">
        <v>133</v>
      </c>
      <c r="C178" s="37">
        <f>5+10+20+100</f>
        <v>135</v>
      </c>
    </row>
    <row r="179" spans="1:5">
      <c r="C179" s="11"/>
    </row>
    <row r="181" spans="1:5">
      <c r="A181" s="40" t="s">
        <v>134</v>
      </c>
      <c r="B181" s="41">
        <v>112</v>
      </c>
      <c r="C181" s="38" t="s">
        <v>135</v>
      </c>
      <c r="D181" s="39" t="s">
        <v>114</v>
      </c>
      <c r="E181" t="s">
        <v>115</v>
      </c>
    </row>
    <row r="182" spans="1:5">
      <c r="A182" s="17" t="s">
        <v>136</v>
      </c>
      <c r="B182" s="42">
        <f>40*112</f>
        <v>4480</v>
      </c>
      <c r="C182" s="40" t="s">
        <v>137</v>
      </c>
      <c r="D182" s="40" t="s">
        <v>138</v>
      </c>
      <c r="E182" s="75" t="s">
        <v>139</v>
      </c>
    </row>
    <row r="183" spans="1:5">
      <c r="C183" s="17"/>
      <c r="D183" s="17"/>
    </row>
    <row r="186" spans="1:5" ht="31.5">
      <c r="B186" s="43" t="s">
        <v>140</v>
      </c>
    </row>
    <row r="187" spans="1:5" ht="18.75">
      <c r="B187" s="44">
        <f>B182+B171+B158</f>
        <v>7871.1649999999991</v>
      </c>
    </row>
  </sheetData>
  <hyperlinks>
    <hyperlink ref="C172" r:id="rId1" xr:uid="{A19E2F01-A44B-4220-AEA4-C5A2D532CE0B}"/>
    <hyperlink ref="E182" r:id="rId2" xr:uid="{75E6C9AE-F8E2-43D1-951B-0C20A07C0437}"/>
    <hyperlink ref="E158" r:id="rId3" xr:uid="{E328E41D-39A2-4AF7-B0CC-053C62213D6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AA35"/>
  <sheetViews>
    <sheetView topLeftCell="A4" workbookViewId="0">
      <selection activeCell="D24" sqref="D24"/>
    </sheetView>
  </sheetViews>
  <sheetFormatPr defaultColWidth="11.42578125" defaultRowHeight="15"/>
  <cols>
    <col min="1" max="1" width="21.7109375" customWidth="1"/>
    <col min="2" max="2" width="76.7109375" customWidth="1"/>
    <col min="3" max="3" width="49.5703125" customWidth="1"/>
    <col min="4" max="4" width="27.42578125" customWidth="1"/>
    <col min="5" max="5" width="11.42578125" customWidth="1"/>
  </cols>
  <sheetData>
    <row r="3" spans="1:27" ht="28.5">
      <c r="A3" s="35" t="s">
        <v>141</v>
      </c>
      <c r="B3" s="35"/>
      <c r="C3" s="35"/>
      <c r="D3" s="35"/>
    </row>
    <row r="5" spans="1:27" ht="15.75" thickBot="1"/>
    <row r="6" spans="1:27" ht="15.75" thickBot="1">
      <c r="A6" s="38" t="s">
        <v>142</v>
      </c>
      <c r="B6" s="45" t="s">
        <v>125</v>
      </c>
      <c r="C6" s="45" t="s">
        <v>143</v>
      </c>
      <c r="D6" s="45" t="s">
        <v>144</v>
      </c>
      <c r="E6" s="46" t="s">
        <v>145</v>
      </c>
      <c r="F6" s="47" t="s">
        <v>146</v>
      </c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9"/>
    </row>
    <row r="7" spans="1:27">
      <c r="A7" s="37" t="s">
        <v>147</v>
      </c>
      <c r="B7" s="50" t="s">
        <v>148</v>
      </c>
      <c r="C7" s="37" t="s">
        <v>149</v>
      </c>
      <c r="D7" s="37">
        <v>1</v>
      </c>
      <c r="E7" s="51">
        <f>4726</f>
        <v>4726</v>
      </c>
      <c r="F7" s="72" t="s">
        <v>150</v>
      </c>
      <c r="G7" s="52"/>
      <c r="H7" s="52"/>
      <c r="I7" s="52"/>
      <c r="J7" s="52"/>
      <c r="K7" s="52"/>
      <c r="L7" s="52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A7" s="53"/>
    </row>
    <row r="8" spans="1:27">
      <c r="A8" s="11"/>
      <c r="B8" s="11" t="s">
        <v>151</v>
      </c>
      <c r="C8" s="11"/>
      <c r="D8" s="11"/>
      <c r="E8" s="12"/>
      <c r="F8" s="12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13"/>
    </row>
    <row r="9" spans="1:27">
      <c r="A9" s="14" t="s">
        <v>152</v>
      </c>
      <c r="B9" t="s">
        <v>153</v>
      </c>
      <c r="C9" s="14" t="s">
        <v>154</v>
      </c>
      <c r="D9" s="14">
        <v>1</v>
      </c>
      <c r="E9" s="15">
        <f>57.99</f>
        <v>57.99</v>
      </c>
      <c r="F9" s="54" t="s">
        <v>155</v>
      </c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16"/>
    </row>
    <row r="10" spans="1:27">
      <c r="A10" s="11"/>
      <c r="C10" s="11"/>
      <c r="D10" s="11"/>
      <c r="E10" s="12"/>
      <c r="F10" s="12"/>
      <c r="G10" s="34"/>
      <c r="H10" s="34"/>
      <c r="I10" s="34"/>
      <c r="J10" s="34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13"/>
    </row>
    <row r="11" spans="1:27">
      <c r="A11" s="15" t="s">
        <v>156</v>
      </c>
      <c r="B11" s="73" t="s">
        <v>157</v>
      </c>
      <c r="C11" s="16" t="s">
        <v>158</v>
      </c>
      <c r="D11" s="14">
        <v>1</v>
      </c>
      <c r="E11" s="15">
        <v>712.5</v>
      </c>
      <c r="F11" s="54" t="s">
        <v>159</v>
      </c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16"/>
    </row>
    <row r="12" spans="1:27">
      <c r="A12" s="11"/>
      <c r="B12" s="11"/>
      <c r="C12" s="11"/>
      <c r="D12" s="11"/>
      <c r="E12" s="12"/>
      <c r="F12" s="12"/>
      <c r="G12" s="34"/>
      <c r="H12" s="34"/>
      <c r="I12" s="34"/>
      <c r="J12" s="34"/>
      <c r="K12" s="34"/>
      <c r="L12" s="34"/>
      <c r="M12" s="34"/>
      <c r="N12" s="34"/>
      <c r="O12" s="34"/>
      <c r="P12" s="34"/>
      <c r="Q12" s="34"/>
      <c r="R12" s="34"/>
      <c r="S12" s="34"/>
      <c r="T12" s="34"/>
      <c r="U12" s="34"/>
      <c r="V12" s="34"/>
      <c r="W12" s="34"/>
      <c r="X12" s="34"/>
      <c r="Y12" s="34"/>
      <c r="Z12" s="34"/>
      <c r="AA12" s="13"/>
    </row>
    <row r="13" spans="1:27">
      <c r="A13" s="14" t="s">
        <v>160</v>
      </c>
      <c r="B13" s="14" t="s">
        <v>161</v>
      </c>
      <c r="C13" s="14" t="s">
        <v>162</v>
      </c>
      <c r="D13" s="14">
        <v>1</v>
      </c>
      <c r="E13" s="15">
        <f>146.72</f>
        <v>146.72</v>
      </c>
      <c r="F13" s="54" t="s">
        <v>163</v>
      </c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16"/>
    </row>
    <row r="14" spans="1:27">
      <c r="A14" s="11"/>
      <c r="B14" s="11"/>
      <c r="C14" s="11"/>
      <c r="D14" s="11"/>
      <c r="E14" s="12"/>
      <c r="F14" s="12"/>
      <c r="G14" s="34"/>
      <c r="H14" s="34"/>
      <c r="I14" s="34"/>
      <c r="J14" s="34"/>
      <c r="K14" s="34"/>
      <c r="L14" s="34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13"/>
    </row>
    <row r="15" spans="1:27">
      <c r="A15" s="14" t="s">
        <v>164</v>
      </c>
      <c r="B15" s="14" t="s">
        <v>165</v>
      </c>
      <c r="C15" s="14" t="s">
        <v>166</v>
      </c>
      <c r="D15" s="14">
        <v>1</v>
      </c>
      <c r="E15" s="15">
        <v>1199.99</v>
      </c>
      <c r="F15" s="54" t="s">
        <v>167</v>
      </c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16"/>
    </row>
    <row r="16" spans="1:27">
      <c r="A16" s="11"/>
      <c r="B16" s="11" t="s">
        <v>168</v>
      </c>
      <c r="C16" s="11"/>
      <c r="D16" s="11"/>
      <c r="E16" s="12"/>
      <c r="F16" s="12"/>
      <c r="G16" s="34"/>
      <c r="H16" s="34"/>
      <c r="I16" s="34"/>
      <c r="J16" s="34"/>
      <c r="K16" s="34"/>
      <c r="L16" s="34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13"/>
    </row>
    <row r="17" spans="1:27">
      <c r="A17" s="14" t="s">
        <v>169</v>
      </c>
      <c r="B17" s="14" t="s">
        <v>170</v>
      </c>
      <c r="C17" s="14" t="s">
        <v>171</v>
      </c>
      <c r="D17" s="14">
        <v>10</v>
      </c>
      <c r="E17" s="15">
        <f>10*220</f>
        <v>2200</v>
      </c>
      <c r="F17" s="54" t="s">
        <v>172</v>
      </c>
      <c r="G17" s="24"/>
      <c r="H17" s="24"/>
      <c r="I17" s="24"/>
      <c r="J17" s="24"/>
      <c r="K17" s="24"/>
      <c r="L17" s="24"/>
      <c r="M17" s="24"/>
      <c r="N17" s="24"/>
      <c r="O17" s="24"/>
      <c r="P17" s="24"/>
      <c r="Q17" s="24"/>
      <c r="R17" s="24"/>
      <c r="S17" s="24"/>
      <c r="T17" s="24"/>
      <c r="U17" s="24"/>
      <c r="V17" s="24"/>
      <c r="W17" s="24"/>
      <c r="X17" s="24"/>
      <c r="Y17" s="24"/>
      <c r="Z17" s="24"/>
      <c r="AA17" s="16"/>
    </row>
    <row r="18" spans="1:27">
      <c r="A18" s="11"/>
      <c r="B18" s="11"/>
      <c r="C18" s="11"/>
      <c r="D18" s="11"/>
      <c r="E18" s="12"/>
      <c r="F18" s="12"/>
      <c r="G18" s="34"/>
      <c r="H18" s="34"/>
      <c r="I18" s="34"/>
      <c r="J18" s="34"/>
      <c r="K18" s="34"/>
      <c r="L18" s="34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13"/>
    </row>
    <row r="19" spans="1:27" ht="15.75">
      <c r="A19" s="14" t="s">
        <v>173</v>
      </c>
      <c r="B19" s="14" t="s">
        <v>174</v>
      </c>
      <c r="C19" s="55" t="s">
        <v>175</v>
      </c>
      <c r="D19" s="14">
        <v>1</v>
      </c>
      <c r="E19" s="15">
        <v>1489.9</v>
      </c>
      <c r="F19" s="54" t="s">
        <v>176</v>
      </c>
      <c r="G19" s="24"/>
      <c r="H19" s="24"/>
      <c r="I19" s="24"/>
      <c r="J19" s="24"/>
      <c r="K19" s="24"/>
      <c r="L19" s="24"/>
      <c r="M19" s="24"/>
      <c r="N19" s="24"/>
      <c r="O19" s="24"/>
      <c r="P19" s="24"/>
      <c r="Q19" s="24"/>
      <c r="R19" s="24"/>
      <c r="S19" s="24"/>
      <c r="T19" s="24"/>
      <c r="U19" s="24"/>
      <c r="V19" s="24"/>
      <c r="W19" s="24"/>
      <c r="X19" s="24"/>
      <c r="Y19" s="24"/>
      <c r="Z19" s="24"/>
      <c r="AA19" s="16"/>
    </row>
    <row r="20" spans="1:27">
      <c r="A20" s="11"/>
      <c r="B20" s="11" t="s">
        <v>177</v>
      </c>
      <c r="C20" s="11"/>
      <c r="D20" s="11"/>
      <c r="E20" s="12"/>
      <c r="F20" s="12"/>
      <c r="G20" s="34"/>
      <c r="H20" s="34"/>
      <c r="I20" s="34"/>
      <c r="J20" s="34"/>
      <c r="K20" s="34"/>
      <c r="L20" s="34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13"/>
    </row>
    <row r="21" spans="1:27">
      <c r="A21" s="17" t="s">
        <v>178</v>
      </c>
      <c r="B21" s="17" t="s">
        <v>179</v>
      </c>
      <c r="C21" s="56" t="s">
        <v>180</v>
      </c>
      <c r="D21" s="17">
        <v>30</v>
      </c>
      <c r="E21" s="18">
        <f>30*101.01</f>
        <v>3030.3</v>
      </c>
      <c r="F21" s="57" t="s">
        <v>181</v>
      </c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</row>
    <row r="22" spans="1:27">
      <c r="A22" s="28" t="s">
        <v>182</v>
      </c>
      <c r="B22" s="28" t="s">
        <v>183</v>
      </c>
      <c r="C22" s="28"/>
      <c r="D22" s="28">
        <v>30</v>
      </c>
      <c r="E22" s="33">
        <f>30*529.87</f>
        <v>15896.1</v>
      </c>
      <c r="F22" s="54" t="s">
        <v>184</v>
      </c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16"/>
    </row>
    <row r="23" spans="1:27">
      <c r="A23" s="11"/>
      <c r="B23" s="11" t="s">
        <v>185</v>
      </c>
      <c r="C23" s="11"/>
      <c r="D23" s="11"/>
      <c r="E23" s="12"/>
      <c r="F23" s="12"/>
      <c r="G23" s="34"/>
      <c r="H23" s="34"/>
      <c r="I23" s="34"/>
      <c r="J23" s="34"/>
      <c r="K23" s="34"/>
      <c r="L23" s="34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13"/>
    </row>
    <row r="24" spans="1:27" ht="15.75">
      <c r="A24" s="17" t="s">
        <v>186</v>
      </c>
      <c r="B24" s="58" t="s">
        <v>187</v>
      </c>
      <c r="C24" s="17" t="s">
        <v>188</v>
      </c>
      <c r="D24" s="17">
        <v>30</v>
      </c>
      <c r="E24" s="59">
        <f>30*13.15</f>
        <v>394.5</v>
      </c>
      <c r="F24" s="60" t="s">
        <v>189</v>
      </c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  <c r="R24" s="59"/>
      <c r="S24" s="59"/>
      <c r="T24" s="59"/>
      <c r="U24" s="59"/>
      <c r="V24" s="59"/>
      <c r="W24" s="59"/>
      <c r="X24" s="59"/>
      <c r="Y24" s="59"/>
      <c r="Z24" s="59"/>
      <c r="AA24" s="19"/>
    </row>
    <row r="25" spans="1:27">
      <c r="A25" s="17" t="s">
        <v>190</v>
      </c>
      <c r="B25" s="18" t="s">
        <v>191</v>
      </c>
      <c r="C25" s="17" t="s">
        <v>192</v>
      </c>
      <c r="D25" s="17">
        <v>30</v>
      </c>
      <c r="E25" s="59">
        <f>30*13.08</f>
        <v>392.4</v>
      </c>
      <c r="F25" s="60" t="s">
        <v>193</v>
      </c>
      <c r="G25" s="59"/>
      <c r="H25" s="59"/>
      <c r="I25" s="59"/>
      <c r="J25" s="59"/>
      <c r="K25" s="59"/>
      <c r="L25" s="59"/>
      <c r="M25" s="59"/>
      <c r="N25" s="59"/>
      <c r="O25" s="59"/>
      <c r="P25" s="59"/>
      <c r="Q25" s="59"/>
      <c r="R25" s="59"/>
      <c r="S25" s="59"/>
      <c r="T25" s="59"/>
      <c r="U25" s="59"/>
      <c r="V25" s="59"/>
      <c r="W25" s="59"/>
      <c r="X25" s="59"/>
      <c r="Y25" s="59"/>
      <c r="Z25" s="59"/>
      <c r="AA25" s="19"/>
    </row>
    <row r="26" spans="1:27">
      <c r="A26" s="17" t="s">
        <v>194</v>
      </c>
      <c r="B26" s="17" t="s">
        <v>195</v>
      </c>
      <c r="C26" s="17" t="s">
        <v>196</v>
      </c>
      <c r="D26" s="17">
        <v>1</v>
      </c>
      <c r="E26" s="17">
        <v>329.95</v>
      </c>
      <c r="F26" s="60" t="s">
        <v>197</v>
      </c>
      <c r="G26" s="59"/>
      <c r="H26" s="59"/>
      <c r="I26" s="59"/>
      <c r="J26" s="59"/>
      <c r="K26" s="59"/>
      <c r="L26" s="59"/>
      <c r="M26" s="59"/>
      <c r="N26" s="59"/>
      <c r="O26" s="59"/>
      <c r="P26" s="59"/>
      <c r="Q26" s="59"/>
      <c r="R26" s="59"/>
      <c r="S26" s="59"/>
      <c r="T26" s="59"/>
      <c r="U26" s="59"/>
      <c r="V26" s="59"/>
      <c r="W26" s="59"/>
      <c r="X26" s="59"/>
      <c r="Y26" s="59"/>
      <c r="Z26" s="59"/>
      <c r="AA26" s="19"/>
    </row>
    <row r="27" spans="1:27" ht="15.75" thickBot="1"/>
    <row r="28" spans="1:27" ht="22.5" thickTop="1" thickBot="1">
      <c r="B28" s="61" t="s">
        <v>198</v>
      </c>
    </row>
    <row r="29" spans="1:27" ht="21.75" thickTop="1">
      <c r="B29" s="62">
        <f>SUM((E7:E26))</f>
        <v>30576.350000000002</v>
      </c>
    </row>
    <row r="31" spans="1:27" ht="15.75" thickBot="1"/>
    <row r="32" spans="1:27" ht="22.5" thickTop="1" thickBot="1">
      <c r="B32" s="61" t="s">
        <v>199</v>
      </c>
      <c r="C32" s="61" t="s">
        <v>125</v>
      </c>
    </row>
    <row r="33" spans="2:3" ht="20.25" thickTop="1" thickBot="1">
      <c r="B33" s="63">
        <f>3*B29</f>
        <v>91729.05</v>
      </c>
      <c r="C33" s="64" t="s">
        <v>200</v>
      </c>
    </row>
    <row r="34" spans="2:3" ht="16.5" thickTop="1" thickBot="1">
      <c r="C34" s="65" t="s">
        <v>201</v>
      </c>
    </row>
    <row r="35" spans="2:3" ht="15.75" thickTop="1"/>
  </sheetData>
  <hyperlinks>
    <hyperlink ref="F7" r:id="rId1" xr:uid="{00000000-0004-0000-0100-000000000000}"/>
    <hyperlink ref="F9" r:id="rId2" xr:uid="{00000000-0004-0000-0100-000001000000}"/>
    <hyperlink ref="F11" r:id="rId3" xr:uid="{00000000-0004-0000-0100-000002000000}"/>
    <hyperlink ref="F13" r:id="rId4" xr:uid="{00000000-0004-0000-0100-000003000000}"/>
    <hyperlink ref="F15" r:id="rId5" xr:uid="{00000000-0004-0000-0100-000004000000}"/>
    <hyperlink ref="F17" r:id="rId6" xr:uid="{00000000-0004-0000-0100-000005000000}"/>
    <hyperlink ref="F19" r:id="rId7" xr:uid="{00000000-0004-0000-0100-000006000000}"/>
    <hyperlink ref="F21" r:id="rId8" location="coagent=1262881" xr:uid="{00000000-0004-0000-0100-000007000000}"/>
    <hyperlink ref="F22" r:id="rId9" xr:uid="{00000000-0004-0000-0100-000008000000}"/>
    <hyperlink ref="F24" r:id="rId10" xr:uid="{00000000-0004-0000-0100-000009000000}"/>
    <hyperlink ref="F25" r:id="rId11" xr:uid="{00000000-0004-0000-0100-00000A000000}"/>
    <hyperlink ref="F26" r:id="rId12" xr:uid="{00000000-0004-0000-0100-00000B000000}"/>
  </hyperlinks>
  <pageMargins left="0.70000000000000007" right="0.70000000000000007" top="0.75" bottom="0.75" header="0.30000000000000004" footer="0.30000000000000004"/>
  <pageSetup paperSize="0" fitToWidth="0" fitToHeight="0" orientation="portrait" horizontalDpi="0" verticalDpi="0" copie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F26"/>
  <sheetViews>
    <sheetView tabSelected="1" workbookViewId="0">
      <selection activeCell="D28" sqref="D28"/>
    </sheetView>
  </sheetViews>
  <sheetFormatPr defaultColWidth="11.42578125" defaultRowHeight="15"/>
  <cols>
    <col min="1" max="1" width="31" customWidth="1"/>
    <col min="2" max="2" width="87.5703125" customWidth="1"/>
    <col min="3" max="3" width="22.28515625" customWidth="1"/>
    <col min="4" max="4" width="12.85546875" customWidth="1"/>
    <col min="5" max="5" width="16.140625" customWidth="1"/>
    <col min="6" max="6" width="11.42578125" customWidth="1"/>
  </cols>
  <sheetData>
    <row r="2" spans="1:6" ht="28.5">
      <c r="A2" s="35" t="s">
        <v>202</v>
      </c>
    </row>
    <row r="5" spans="1:6" ht="15.75" thickBot="1"/>
    <row r="6" spans="1:6" ht="15.75" thickBot="1">
      <c r="A6" s="38" t="s">
        <v>142</v>
      </c>
      <c r="B6" s="45" t="s">
        <v>125</v>
      </c>
      <c r="C6" s="45" t="s">
        <v>143</v>
      </c>
      <c r="D6" s="45" t="s">
        <v>144</v>
      </c>
      <c r="E6" s="45" t="s">
        <v>145</v>
      </c>
      <c r="F6" s="66" t="s">
        <v>203</v>
      </c>
    </row>
    <row r="7" spans="1:6">
      <c r="A7" s="37" t="s">
        <v>204</v>
      </c>
      <c r="B7" s="50" t="s">
        <v>205</v>
      </c>
      <c r="C7" s="37" t="s">
        <v>206</v>
      </c>
      <c r="D7" s="37">
        <v>2</v>
      </c>
      <c r="E7" s="37">
        <f>2*3466.9</f>
        <v>6933.8</v>
      </c>
      <c r="F7" s="75" t="s">
        <v>207</v>
      </c>
    </row>
    <row r="8" spans="1:6">
      <c r="A8" s="11" t="s">
        <v>208</v>
      </c>
      <c r="B8" s="11"/>
      <c r="C8" s="11"/>
      <c r="D8" s="11"/>
      <c r="E8" s="11"/>
    </row>
    <row r="9" spans="1:6">
      <c r="A9" s="14" t="s">
        <v>209</v>
      </c>
      <c r="B9" s="14" t="s">
        <v>210</v>
      </c>
      <c r="C9" s="67" t="s">
        <v>211</v>
      </c>
      <c r="D9" s="14">
        <v>2</v>
      </c>
      <c r="E9" s="14">
        <f>2*1706</f>
        <v>3412</v>
      </c>
      <c r="F9" s="75" t="s">
        <v>212</v>
      </c>
    </row>
    <row r="10" spans="1:6">
      <c r="A10" s="11"/>
      <c r="B10" s="11"/>
      <c r="C10" s="11"/>
      <c r="D10" s="11"/>
      <c r="E10" s="11"/>
    </row>
    <row r="11" spans="1:6">
      <c r="A11" s="14" t="s">
        <v>213</v>
      </c>
      <c r="B11" s="14"/>
      <c r="C11" s="14" t="s">
        <v>214</v>
      </c>
      <c r="D11" s="14">
        <v>2</v>
      </c>
      <c r="E11" s="14">
        <f>2*520.9</f>
        <v>1041.8</v>
      </c>
      <c r="F11" s="75" t="s">
        <v>215</v>
      </c>
    </row>
    <row r="12" spans="1:6">
      <c r="A12" s="11"/>
      <c r="B12" s="11"/>
      <c r="C12" s="11"/>
      <c r="D12" s="11"/>
      <c r="E12" s="11"/>
    </row>
    <row r="13" spans="1:6" ht="15.75">
      <c r="A13" s="11" t="s">
        <v>216</v>
      </c>
      <c r="B13" s="82" t="s">
        <v>217</v>
      </c>
      <c r="C13" s="83" t="s">
        <v>218</v>
      </c>
      <c r="D13" s="11">
        <v>20</v>
      </c>
      <c r="E13" s="11">
        <f>20*159.95</f>
        <v>3199</v>
      </c>
      <c r="F13" s="75" t="s">
        <v>219</v>
      </c>
    </row>
    <row r="14" spans="1:6">
      <c r="A14" s="17" t="s">
        <v>220</v>
      </c>
      <c r="B14" s="68" t="s">
        <v>221</v>
      </c>
      <c r="C14" s="17" t="s">
        <v>222</v>
      </c>
      <c r="D14" s="17">
        <v>1</v>
      </c>
      <c r="E14" s="17">
        <f>4351.1</f>
        <v>4351.1000000000004</v>
      </c>
      <c r="F14" s="75" t="s">
        <v>223</v>
      </c>
    </row>
    <row r="15" spans="1:6">
      <c r="A15" s="17" t="s">
        <v>224</v>
      </c>
      <c r="B15" s="59" t="s">
        <v>225</v>
      </c>
      <c r="C15" s="59" t="s">
        <v>226</v>
      </c>
      <c r="D15" s="17">
        <v>1</v>
      </c>
      <c r="E15" s="19">
        <v>2599</v>
      </c>
      <c r="F15" t="s">
        <v>227</v>
      </c>
    </row>
    <row r="16" spans="1:6">
      <c r="A16" s="14" t="s">
        <v>228</v>
      </c>
      <c r="B16" s="14" t="s">
        <v>148</v>
      </c>
      <c r="C16" s="14" t="s">
        <v>149</v>
      </c>
      <c r="D16" s="14">
        <v>2</v>
      </c>
      <c r="E16" s="14">
        <f>2*4726</f>
        <v>9452</v>
      </c>
      <c r="F16" s="78" t="s">
        <v>150</v>
      </c>
    </row>
    <row r="17" spans="1:6">
      <c r="A17" s="11"/>
      <c r="B17" s="11" t="s">
        <v>151</v>
      </c>
      <c r="C17" s="11"/>
      <c r="D17" s="11"/>
      <c r="E17" s="11"/>
    </row>
    <row r="18" spans="1:6">
      <c r="A18" s="17" t="s">
        <v>152</v>
      </c>
      <c r="B18" s="17" t="s">
        <v>229</v>
      </c>
      <c r="C18" s="17" t="s">
        <v>230</v>
      </c>
      <c r="D18" s="17">
        <v>2</v>
      </c>
      <c r="E18" s="17">
        <f>2*201.65</f>
        <v>403.3</v>
      </c>
      <c r="F18" s="69" t="s">
        <v>231</v>
      </c>
    </row>
    <row r="19" spans="1:6">
      <c r="A19" s="17" t="s">
        <v>156</v>
      </c>
      <c r="B19" s="17" t="s">
        <v>232</v>
      </c>
      <c r="C19" s="17" t="s">
        <v>158</v>
      </c>
      <c r="D19" s="17">
        <v>1</v>
      </c>
      <c r="E19" s="17">
        <v>712.5</v>
      </c>
      <c r="F19" s="69" t="s">
        <v>159</v>
      </c>
    </row>
    <row r="20" spans="1:6">
      <c r="A20" s="14" t="s">
        <v>160</v>
      </c>
      <c r="B20" s="14" t="s">
        <v>161</v>
      </c>
      <c r="C20" s="14" t="s">
        <v>162</v>
      </c>
      <c r="D20" s="14">
        <v>2</v>
      </c>
      <c r="E20" s="14">
        <f>2*146.72</f>
        <v>293.44</v>
      </c>
      <c r="F20" s="17"/>
    </row>
    <row r="21" spans="1:6">
      <c r="F21" s="75" t="s">
        <v>233</v>
      </c>
    </row>
    <row r="22" spans="1:6">
      <c r="A22" t="s">
        <v>234</v>
      </c>
      <c r="B22" t="s">
        <v>235</v>
      </c>
      <c r="C22" t="s">
        <v>236</v>
      </c>
      <c r="D22">
        <v>1</v>
      </c>
      <c r="E22">
        <f>2250</f>
        <v>2250</v>
      </c>
    </row>
    <row r="23" spans="1:6" ht="15.75" thickBot="1"/>
    <row r="24" spans="1:6" ht="21.75" thickBot="1">
      <c r="B24" s="70" t="s">
        <v>237</v>
      </c>
    </row>
    <row r="25" spans="1:6" ht="29.25" thickBot="1">
      <c r="B25" s="71">
        <f>SUM((E7:E22))</f>
        <v>34647.939999999995</v>
      </c>
    </row>
    <row r="26" spans="1:6" ht="15.75" thickTop="1"/>
  </sheetData>
  <hyperlinks>
    <hyperlink ref="F16" r:id="rId1" xr:uid="{00000000-0004-0000-0200-000000000000}"/>
    <hyperlink ref="F18" r:id="rId2" xr:uid="{00000000-0004-0000-0200-000001000000}"/>
    <hyperlink ref="F19" r:id="rId3" xr:uid="{00000000-0004-0000-0200-000002000000}"/>
    <hyperlink ref="F7" r:id="rId4" xr:uid="{B537E65B-A648-46FA-9150-71C91DDA058B}"/>
    <hyperlink ref="F14" r:id="rId5" xr:uid="{BA933A37-DA44-41C2-A67A-435F155FEDE2}"/>
    <hyperlink ref="F13" r:id="rId6" xr:uid="{E1D50976-9E67-4243-A5C8-1D45F2249ADA}"/>
    <hyperlink ref="F9" r:id="rId7" xr:uid="{D032040E-D21D-4754-A63A-13D1CB7CF18E}"/>
    <hyperlink ref="F11" r:id="rId8" xr:uid="{C1E0A2F3-F3FE-4EBB-B43D-2288A77CB3B2}"/>
    <hyperlink ref="F21" r:id="rId9" xr:uid="{4700A1B0-60FC-40AA-B08B-FA72C6514520}"/>
  </hyperlinks>
  <pageMargins left="0.70000000000000007" right="0.70000000000000007" top="0.75" bottom="0.75" header="0.30000000000000004" footer="0.30000000000000004"/>
  <tableParts count="1">
    <tablePart r:id="rId10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0E34A2-CF1C-48F4-979A-08879816F584}">
  <dimension ref="A2:A7"/>
  <sheetViews>
    <sheetView workbookViewId="0">
      <selection activeCell="A34" sqref="A34"/>
    </sheetView>
  </sheetViews>
  <sheetFormatPr defaultRowHeight="15"/>
  <cols>
    <col min="1" max="1" width="110.42578125" customWidth="1"/>
  </cols>
  <sheetData>
    <row r="2" spans="1:1" ht="31.5">
      <c r="A2" s="80" t="s">
        <v>238</v>
      </c>
    </row>
    <row r="4" spans="1:1" ht="16.5" customHeight="1">
      <c r="A4" s="79" t="s">
        <v>239</v>
      </c>
    </row>
    <row r="5" spans="1:1" ht="18.75">
      <c r="A5" s="77">
        <f>Calcul_câble!B187+Equipements_étages!B33+'Equipement-rez-de-chaussée'!B25</f>
        <v>134248.155</v>
      </c>
    </row>
    <row r="7" spans="1:1" ht="18.75">
      <c r="A7" s="77"/>
    </row>
  </sheetData>
  <pageMargins left="0.7" right="0.7" top="0.75" bottom="0.75" header="0.3" footer="0.3"/>
  <tableParts count="2">
    <tablePart r:id="rId1"/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Mamadou CAMARA</dc:creator>
  <cp:keywords/>
  <dc:description/>
  <cp:lastModifiedBy>i:0#.f|membership|bergeal.benjamin@educ-valadon-limoges.fr</cp:lastModifiedBy>
  <cp:revision/>
  <dcterms:created xsi:type="dcterms:W3CDTF">2024-01-17T08:38:02Z</dcterms:created>
  <dcterms:modified xsi:type="dcterms:W3CDTF">2024-01-24T09:45:38Z</dcterms:modified>
  <cp:category/>
  <cp:contentStatus/>
</cp:coreProperties>
</file>